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fnottm.sharepoint.com/sites/O365-HRMIS/Shared Documents/General/02 Salary Scales/2024 11 Salary Scales Nov 24/"/>
    </mc:Choice>
  </mc:AlternateContent>
  <xr:revisionPtr revIDLastSave="144" documentId="8_{FBC78685-28A7-4668-90E4-AB7038948798}" xr6:coauthVersionLast="47" xr6:coauthVersionMax="47" xr10:uidLastSave="{F67D3522-74FE-48EC-8B96-61E47B48BE87}"/>
  <workbookProtection workbookAlgorithmName="SHA-512" workbookHashValue="ps96uE2MJh2R2XATke05UQhzsp6KLFLduDFZqTMkvtsSWVAHKgxSlvk8rrpL18TCH2pM68z7ykM5CS1KLBPyIw==" workbookSaltValue="svda0+UPhVmn0E7gt/R8AQ==" workbookSpinCount="100000" lockStructure="1"/>
  <bookViews>
    <workbookView xWindow="-120" yWindow="-16320" windowWidth="29040" windowHeight="15720" tabRatio="869" firstSheet="1" activeTab="8" xr2:uid="{00000000-000D-0000-FFFF-FFFF00000000}"/>
  </bookViews>
  <sheets>
    <sheet name="Contents &amp; version control" sheetId="5" r:id="rId1"/>
    <sheet name="Level 1-3 scale" sheetId="17" r:id="rId2"/>
    <sheet name="Apprenticeship scale" sheetId="15" r:id="rId3"/>
    <sheet name="Child care Services Scale" sheetId="20" r:id="rId4"/>
    <sheet name="Level 4-6 scale" sheetId="12" r:id="rId5"/>
    <sheet name="Level 7 scale" sheetId="8" r:id="rId6"/>
    <sheet name="Level 7 R&amp;T banded scale" sheetId="10" r:id="rId7"/>
    <sheet name="Clinical scales" sheetId="14" r:id="rId8"/>
    <sheet name="Casual worker scales" sheetId="19" r:id="rId9"/>
    <sheet name="Standard rates calculator" sheetId="1" r:id="rId10"/>
    <sheet name="Offscale rates calculator" sheetId="16" r:id="rId11"/>
    <sheet name="Grades" sheetId="2" state="hidden" r:id="rId12"/>
    <sheet name="Points Lookup" sheetId="4" state="hidden" r:id="rId13"/>
    <sheet name="Thresholds_Rates" sheetId="7" state="hidden" r:id="rId14"/>
  </sheets>
  <definedNames>
    <definedName name="_xlnm._FilterDatabase" localSheetId="11" hidden="1">Grades!$A$6:$BZ$54</definedName>
    <definedName name="LIST">OFFSET(Grades!$A$7,0,0,COUNTA(Grades!$A:$A)-1,1)</definedName>
    <definedName name="NMW">Thresholds_Rates!$C$17</definedName>
    <definedName name="_xlnm.Print_Area" localSheetId="2">'Apprenticeship scale'!$B$1:$H$39</definedName>
    <definedName name="_xlnm.Print_Area" localSheetId="8">'Casual worker scales'!$B$1:$F$174</definedName>
    <definedName name="_xlnm.Print_Area" localSheetId="3">'Child care Services Scale'!$B$1:$M$21</definedName>
    <definedName name="_xlnm.Print_Area" localSheetId="7">'Clinical scales'!$B$1:$E$51</definedName>
    <definedName name="_xlnm.Print_Area" localSheetId="0">'Contents &amp; version control'!$B$15:$E$36</definedName>
    <definedName name="_xlnm.Print_Area" localSheetId="1">'Level 1-3 scale'!$B$1:$N$28</definedName>
    <definedName name="_xlnm.Print_Area" localSheetId="4">'Level 4-6 scale'!$B$1:$L$43</definedName>
    <definedName name="_xlnm.Print_Area" localSheetId="6">'Level 7 R&amp;T banded scale'!$B$1:$I$32</definedName>
    <definedName name="_xlnm.Print_Area" localSheetId="5">'Level 7 scale'!$B$1:$I$42</definedName>
    <definedName name="_xlnm.Print_Area" localSheetId="10">'Offscale rates calculator'!$A$1:$R$10</definedName>
    <definedName name="_xlnm.Print_Area" localSheetId="9">'Standard rates calculator'!$A$1:$Q$32</definedName>
    <definedName name="_xlnm.Print_Titles" localSheetId="8">'Casual worker scales'!$1:$1</definedName>
    <definedName name="_xlnm.Print_Titles" localSheetId="1">'Level 1-3 scale'!$1:$2</definedName>
    <definedName name="_xlnm.Print_Titles" localSheetId="4">'Level 4-6 scale'!$1:$2</definedName>
    <definedName name="_xlnm.Print_Titles" localSheetId="10">'Offscale rates calculator'!$9:$9</definedName>
    <definedName name="_xlnm.Print_Titles" localSheetId="9">'Standard rates calculator'!$13:$13</definedName>
    <definedName name="RATES_dyn_print_area" localSheetId="10">OFFSET('Offscale rates calculator'!#REF!,0,0,VLOOKUP('Offscale rates calculator'!#REF!,Grades!$A:$F,2,FALSE)+7,IF('Offscale rates calculator'!$R$8="AVA Details",22,17))</definedName>
    <definedName name="RATES_dyn_print_area">OFFSET('Standard rates calculator'!$A$1,0,0,VLOOKUP('Standard rates calculator'!$B$6,Grades!$A:$F,2,FALSE)+7,IF('Standard rates calculator'!$R$12="AVA Details",22,17))</definedName>
    <definedName name="Z_DC156EF3_60B9_4D72_83CB_66DF98F35EAF_.wvu.FilterData" localSheetId="11" hidden="1">Grades!$A$6:$BZ$54</definedName>
    <definedName name="Z_DC156EF3_60B9_4D72_83CB_66DF98F35EAF_.wvu.PrintArea" localSheetId="2" hidden="1">'Apprenticeship scale'!$B$1:$H$39</definedName>
    <definedName name="Z_DC156EF3_60B9_4D72_83CB_66DF98F35EAF_.wvu.PrintArea" localSheetId="8" hidden="1">'Casual worker scales'!$B$1:$F$174</definedName>
    <definedName name="Z_DC156EF3_60B9_4D72_83CB_66DF98F35EAF_.wvu.PrintArea" localSheetId="3" hidden="1">'Child care Services Scale'!$B$1:$M$21</definedName>
    <definedName name="Z_DC156EF3_60B9_4D72_83CB_66DF98F35EAF_.wvu.PrintArea" localSheetId="7" hidden="1">'Clinical scales'!$B$1:$E$51</definedName>
    <definedName name="Z_DC156EF3_60B9_4D72_83CB_66DF98F35EAF_.wvu.PrintArea" localSheetId="0" hidden="1">'Contents &amp; version control'!$B$15:$E$36</definedName>
    <definedName name="Z_DC156EF3_60B9_4D72_83CB_66DF98F35EAF_.wvu.PrintArea" localSheetId="1" hidden="1">'Level 1-3 scale'!$B$1:$N$28</definedName>
    <definedName name="Z_DC156EF3_60B9_4D72_83CB_66DF98F35EAF_.wvu.PrintArea" localSheetId="4" hidden="1">'Level 4-6 scale'!$B$1:$L$43</definedName>
    <definedName name="Z_DC156EF3_60B9_4D72_83CB_66DF98F35EAF_.wvu.PrintArea" localSheetId="6" hidden="1">'Level 7 R&amp;T banded scale'!$B$1:$I$32</definedName>
    <definedName name="Z_DC156EF3_60B9_4D72_83CB_66DF98F35EAF_.wvu.PrintArea" localSheetId="5" hidden="1">'Level 7 scale'!$B$1:$I$42</definedName>
    <definedName name="Z_DC156EF3_60B9_4D72_83CB_66DF98F35EAF_.wvu.PrintArea" localSheetId="10" hidden="1">'Offscale rates calculator'!$A$1:$R$10</definedName>
    <definedName name="Z_DC156EF3_60B9_4D72_83CB_66DF98F35EAF_.wvu.PrintArea" localSheetId="9" hidden="1">'Standard rates calculator'!$A$1:$Q$32</definedName>
    <definedName name="Z_DC156EF3_60B9_4D72_83CB_66DF98F35EAF_.wvu.PrintTitles" localSheetId="8" hidden="1">'Casual worker scales'!$1:$1</definedName>
    <definedName name="Z_DC156EF3_60B9_4D72_83CB_66DF98F35EAF_.wvu.PrintTitles" localSheetId="1" hidden="1">'Level 1-3 scale'!$1:$2</definedName>
    <definedName name="Z_DC156EF3_60B9_4D72_83CB_66DF98F35EAF_.wvu.PrintTitles" localSheetId="4" hidden="1">'Level 4-6 scale'!$1:$2</definedName>
    <definedName name="Z_DC156EF3_60B9_4D72_83CB_66DF98F35EAF_.wvu.PrintTitles" localSheetId="10" hidden="1">'Offscale rates calculator'!$9:$9</definedName>
    <definedName name="Z_DC156EF3_60B9_4D72_83CB_66DF98F35EAF_.wvu.PrintTitles" localSheetId="9" hidden="1">'Standard rates calculator'!$13:$13</definedName>
  </definedNames>
  <calcPr calcId="191028"/>
  <customWorkbookViews>
    <customWorkbookView name="Q" guid="{DC156EF3-60B9-4D72-83CB-66DF98F35EAF}" maximized="1" xWindow="-1928" yWindow="-881" windowWidth="1936" windowHeight="1048" tabRatio="869" activeSheetId="1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7" i="19" l="1"/>
  <c r="E34" i="5" l="1"/>
  <c r="C8" i="20" l="1"/>
  <c r="C9" i="20"/>
  <c r="C10" i="20"/>
  <c r="C11" i="20"/>
  <c r="C12" i="20"/>
  <c r="C13" i="20"/>
  <c r="C14" i="20"/>
  <c r="C15" i="20"/>
  <c r="C16" i="20"/>
  <c r="C17" i="20"/>
  <c r="C7" i="20"/>
  <c r="B21" i="20"/>
  <c r="B19" i="20"/>
  <c r="B49" i="14"/>
  <c r="B30" i="10"/>
  <c r="B37" i="15"/>
  <c r="B27" i="17"/>
  <c r="C25" i="15" l="1"/>
  <c r="C26" i="15"/>
  <c r="C27" i="15"/>
  <c r="C28" i="15"/>
  <c r="C29" i="15"/>
  <c r="C30" i="15"/>
  <c r="C31" i="15"/>
  <c r="C32" i="15"/>
  <c r="C33" i="15"/>
  <c r="C34" i="15"/>
  <c r="C35" i="15"/>
  <c r="C24" i="15"/>
  <c r="B20" i="19"/>
  <c r="B42" i="12"/>
  <c r="B40" i="8"/>
  <c r="C135" i="19"/>
  <c r="C136" i="19"/>
  <c r="C137" i="19"/>
  <c r="C138" i="19"/>
  <c r="C134" i="19"/>
  <c r="C23" i="19" l="1"/>
  <c r="C171" i="19"/>
  <c r="C172" i="19"/>
  <c r="C173" i="19"/>
  <c r="C174" i="19"/>
  <c r="C170" i="19"/>
  <c r="C163" i="19"/>
  <c r="C164" i="19"/>
  <c r="C165" i="19"/>
  <c r="C166" i="19"/>
  <c r="C162" i="19"/>
  <c r="C146" i="19"/>
  <c r="C147" i="19"/>
  <c r="C148" i="19"/>
  <c r="C149" i="19"/>
  <c r="C150" i="19"/>
  <c r="C151" i="19"/>
  <c r="C152" i="19"/>
  <c r="C153" i="19"/>
  <c r="C154" i="19"/>
  <c r="C155" i="19"/>
  <c r="C145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08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85" i="19"/>
  <c r="C50" i="19" l="1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49" i="19"/>
  <c r="C25" i="19" l="1"/>
  <c r="C9" i="19" s="1"/>
  <c r="C26" i="19"/>
  <c r="C10" i="19" s="1"/>
  <c r="C27" i="19"/>
  <c r="C11" i="19" s="1"/>
  <c r="C28" i="19"/>
  <c r="C12" i="19" s="1"/>
  <c r="C29" i="19"/>
  <c r="C13" i="19" s="1"/>
  <c r="C30" i="19"/>
  <c r="C14" i="19" s="1"/>
  <c r="C31" i="19"/>
  <c r="C15" i="19" s="1"/>
  <c r="C32" i="19"/>
  <c r="C33" i="19"/>
  <c r="C34" i="19"/>
  <c r="C35" i="19"/>
  <c r="C36" i="19"/>
  <c r="C37" i="19"/>
  <c r="C38" i="19"/>
  <c r="C39" i="19"/>
  <c r="C40" i="19"/>
  <c r="C41" i="19"/>
  <c r="C24" i="19"/>
  <c r="C8" i="19" s="1"/>
  <c r="B28" i="17" l="1"/>
  <c r="G9" i="12"/>
  <c r="B43" i="12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B2" i="1"/>
  <c r="G7" i="12" l="1"/>
  <c r="G8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H10" i="16"/>
  <c r="E10" i="16"/>
  <c r="J10" i="16"/>
  <c r="G10" i="16"/>
  <c r="F10" i="16"/>
  <c r="B2" i="16"/>
  <c r="B3" i="16"/>
  <c r="C10" i="1"/>
  <c r="B12" i="1"/>
  <c r="BU18" i="2" l="1"/>
  <c r="BY18" i="2" s="1"/>
  <c r="BV18" i="2"/>
  <c r="BW18" i="2"/>
  <c r="BX18" i="2"/>
  <c r="BU19" i="2"/>
  <c r="BY19" i="2" s="1"/>
  <c r="BV19" i="2"/>
  <c r="BW19" i="2"/>
  <c r="BX19" i="2"/>
  <c r="BU20" i="2"/>
  <c r="BY20" i="2" s="1"/>
  <c r="BV20" i="2"/>
  <c r="BW20" i="2"/>
  <c r="BX20" i="2"/>
  <c r="BU21" i="2"/>
  <c r="BY21" i="2" s="1"/>
  <c r="BV21" i="2"/>
  <c r="BW21" i="2"/>
  <c r="BX21" i="2"/>
  <c r="BU22" i="2"/>
  <c r="BY22" i="2" s="1"/>
  <c r="BV22" i="2"/>
  <c r="BW22" i="2"/>
  <c r="BX22" i="2"/>
  <c r="BU23" i="2"/>
  <c r="BY23" i="2" s="1"/>
  <c r="BV23" i="2"/>
  <c r="BW23" i="2"/>
  <c r="BX23" i="2"/>
  <c r="F18" i="2"/>
  <c r="F19" i="2"/>
  <c r="F20" i="2"/>
  <c r="F21" i="2"/>
  <c r="F22" i="2"/>
  <c r="F23" i="2"/>
  <c r="BX9" i="2"/>
  <c r="BW9" i="2"/>
  <c r="BV9" i="2"/>
  <c r="BU9" i="2"/>
  <c r="BY9" i="2" s="1"/>
  <c r="F9" i="2"/>
  <c r="BZ18" i="2" l="1"/>
  <c r="BZ20" i="2"/>
  <c r="BZ22" i="2"/>
  <c r="BZ23" i="2"/>
  <c r="BZ19" i="2"/>
  <c r="BZ21" i="2"/>
  <c r="BZ9" i="2"/>
  <c r="B39" i="15"/>
  <c r="D42" i="14"/>
  <c r="D43" i="14"/>
  <c r="D44" i="14"/>
  <c r="D45" i="14"/>
  <c r="D41" i="14"/>
  <c r="B51" i="14"/>
  <c r="D37" i="14"/>
  <c r="D36" i="14"/>
  <c r="D35" i="14"/>
  <c r="D34" i="14"/>
  <c r="D33" i="14"/>
  <c r="C28" i="14"/>
  <c r="C27" i="14"/>
  <c r="C26" i="14"/>
  <c r="C25" i="14"/>
  <c r="C24" i="14"/>
  <c r="C23" i="14"/>
  <c r="C22" i="14"/>
  <c r="C21" i="14"/>
  <c r="C20" i="14"/>
  <c r="C19" i="14"/>
  <c r="C18" i="14"/>
  <c r="C13" i="14"/>
  <c r="C12" i="14"/>
  <c r="C11" i="14"/>
  <c r="C10" i="14"/>
  <c r="C9" i="14"/>
  <c r="BX32" i="2" l="1"/>
  <c r="BW32" i="2"/>
  <c r="BV32" i="2"/>
  <c r="BU32" i="2"/>
  <c r="BY32" i="2" s="1"/>
  <c r="BX31" i="2"/>
  <c r="BW31" i="2"/>
  <c r="BV31" i="2"/>
  <c r="BU31" i="2"/>
  <c r="BY31" i="2" s="1"/>
  <c r="BX30" i="2"/>
  <c r="BW30" i="2"/>
  <c r="BV30" i="2"/>
  <c r="BU30" i="2"/>
  <c r="BY30" i="2" s="1"/>
  <c r="F31" i="2"/>
  <c r="F32" i="2"/>
  <c r="F30" i="2"/>
  <c r="F12" i="2"/>
  <c r="BZ32" i="2" l="1"/>
  <c r="BZ31" i="2"/>
  <c r="BZ30" i="2"/>
  <c r="B3" i="1"/>
  <c r="B4" i="1"/>
  <c r="B32" i="10"/>
  <c r="B42" i="8"/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BZ43" i="2"/>
  <c r="BZ44" i="2"/>
  <c r="BZ45" i="2"/>
  <c r="BZ46" i="2"/>
  <c r="BV42" i="2"/>
  <c r="BW42" i="2"/>
  <c r="BX42" i="2"/>
  <c r="BY42" i="2"/>
  <c r="BY43" i="2"/>
  <c r="BY44" i="2"/>
  <c r="BY45" i="2"/>
  <c r="BY46" i="2"/>
  <c r="X5" i="4"/>
  <c r="X6" i="4"/>
  <c r="X7" i="4"/>
  <c r="X8" i="4"/>
  <c r="X9" i="4"/>
  <c r="X10" i="4"/>
  <c r="X11" i="4"/>
  <c r="X12" i="4"/>
  <c r="X13" i="4"/>
  <c r="X14" i="4"/>
  <c r="X15" i="4"/>
  <c r="X16" i="4"/>
  <c r="X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4" i="4"/>
  <c r="BZ42" i="2" l="1"/>
  <c r="C13" i="1"/>
  <c r="F42" i="2"/>
  <c r="F46" i="2"/>
  <c r="F45" i="2"/>
  <c r="F44" i="2"/>
  <c r="F43" i="2"/>
  <c r="F53" i="2"/>
  <c r="F41" i="2"/>
  <c r="T12" i="1" l="1"/>
  <c r="R12" i="1"/>
  <c r="U13" i="1"/>
  <c r="R13" i="1"/>
  <c r="S13" i="1"/>
  <c r="T13" i="1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9" i="10"/>
  <c r="BU53" i="2" l="1"/>
  <c r="BY53" i="2" s="1"/>
  <c r="BV53" i="2"/>
  <c r="BW53" i="2"/>
  <c r="BX53" i="2"/>
  <c r="BU52" i="2"/>
  <c r="BY52" i="2" s="1"/>
  <c r="BV52" i="2"/>
  <c r="BW52" i="2"/>
  <c r="BX52" i="2"/>
  <c r="F52" i="2"/>
  <c r="BZ53" i="2" l="1"/>
  <c r="BZ52" i="2"/>
  <c r="BX26" i="2" l="1"/>
  <c r="BW26" i="2"/>
  <c r="BV26" i="2"/>
  <c r="BU26" i="2"/>
  <c r="BY26" i="2" s="1"/>
  <c r="F26" i="2"/>
  <c r="BZ26" i="2" l="1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3" i="8"/>
  <c r="C12" i="7" l="1"/>
  <c r="C15" i="7"/>
  <c r="E10" i="1" l="1"/>
  <c r="BX51" i="2"/>
  <c r="BW51" i="2"/>
  <c r="BV51" i="2"/>
  <c r="BU51" i="2"/>
  <c r="BY51" i="2" s="1"/>
  <c r="F51" i="2"/>
  <c r="BX50" i="2"/>
  <c r="BW50" i="2"/>
  <c r="BV50" i="2"/>
  <c r="BU50" i="2"/>
  <c r="BY50" i="2" s="1"/>
  <c r="F50" i="2"/>
  <c r="BX49" i="2"/>
  <c r="BW49" i="2"/>
  <c r="BV49" i="2"/>
  <c r="BU49" i="2"/>
  <c r="BY49" i="2" s="1"/>
  <c r="F49" i="2"/>
  <c r="BX48" i="2"/>
  <c r="BW48" i="2"/>
  <c r="BV48" i="2"/>
  <c r="BU48" i="2"/>
  <c r="BY48" i="2" s="1"/>
  <c r="F48" i="2"/>
  <c r="BX47" i="2"/>
  <c r="BW47" i="2"/>
  <c r="BV47" i="2"/>
  <c r="BU47" i="2"/>
  <c r="BY47" i="2" s="1"/>
  <c r="F47" i="2"/>
  <c r="BX54" i="2"/>
  <c r="BW54" i="2"/>
  <c r="BV54" i="2"/>
  <c r="BU54" i="2"/>
  <c r="BY54" i="2" s="1"/>
  <c r="F54" i="2"/>
  <c r="BX41" i="2"/>
  <c r="BW41" i="2"/>
  <c r="BV41" i="2"/>
  <c r="BU41" i="2"/>
  <c r="BY41" i="2" s="1"/>
  <c r="BX40" i="2"/>
  <c r="BW40" i="2"/>
  <c r="BV40" i="2"/>
  <c r="BU40" i="2"/>
  <c r="BY40" i="2" s="1"/>
  <c r="F40" i="2"/>
  <c r="BX39" i="2"/>
  <c r="BW39" i="2"/>
  <c r="BV39" i="2"/>
  <c r="BU39" i="2"/>
  <c r="BY39" i="2" s="1"/>
  <c r="F39" i="2"/>
  <c r="BX37" i="2"/>
  <c r="BW37" i="2"/>
  <c r="BV37" i="2"/>
  <c r="BU37" i="2"/>
  <c r="BY37" i="2" s="1"/>
  <c r="F37" i="2"/>
  <c r="BX38" i="2"/>
  <c r="BW38" i="2"/>
  <c r="BV38" i="2"/>
  <c r="BU38" i="2"/>
  <c r="BY38" i="2" s="1"/>
  <c r="F38" i="2"/>
  <c r="BX36" i="2"/>
  <c r="BW36" i="2"/>
  <c r="BV36" i="2"/>
  <c r="BU36" i="2"/>
  <c r="BY36" i="2" s="1"/>
  <c r="F36" i="2"/>
  <c r="BX34" i="2"/>
  <c r="BW34" i="2"/>
  <c r="BV34" i="2"/>
  <c r="BU34" i="2"/>
  <c r="BY34" i="2" s="1"/>
  <c r="F34" i="2"/>
  <c r="BX35" i="2"/>
  <c r="BW35" i="2"/>
  <c r="BV35" i="2"/>
  <c r="BU35" i="2"/>
  <c r="BY35" i="2" s="1"/>
  <c r="F35" i="2"/>
  <c r="BX33" i="2"/>
  <c r="BW33" i="2"/>
  <c r="BV33" i="2"/>
  <c r="BU33" i="2"/>
  <c r="BY33" i="2" s="1"/>
  <c r="F33" i="2"/>
  <c r="BX28" i="2"/>
  <c r="BW28" i="2"/>
  <c r="BV28" i="2"/>
  <c r="BU28" i="2"/>
  <c r="BY28" i="2" s="1"/>
  <c r="F28" i="2"/>
  <c r="BX27" i="2"/>
  <c r="BW27" i="2"/>
  <c r="BV27" i="2"/>
  <c r="BU27" i="2"/>
  <c r="BY27" i="2" s="1"/>
  <c r="F27" i="2"/>
  <c r="BX29" i="2"/>
  <c r="BW29" i="2"/>
  <c r="BV29" i="2"/>
  <c r="BU29" i="2"/>
  <c r="BY29" i="2" s="1"/>
  <c r="F29" i="2"/>
  <c r="BX25" i="2"/>
  <c r="BW25" i="2"/>
  <c r="BV25" i="2"/>
  <c r="BU25" i="2"/>
  <c r="BY25" i="2" s="1"/>
  <c r="F25" i="2"/>
  <c r="BX24" i="2"/>
  <c r="BW24" i="2"/>
  <c r="BV24" i="2"/>
  <c r="BU24" i="2"/>
  <c r="BY24" i="2" s="1"/>
  <c r="F24" i="2"/>
  <c r="BX17" i="2"/>
  <c r="BW17" i="2"/>
  <c r="BV17" i="2"/>
  <c r="BU17" i="2"/>
  <c r="BY17" i="2" s="1"/>
  <c r="F17" i="2"/>
  <c r="BX16" i="2"/>
  <c r="BW16" i="2"/>
  <c r="BV16" i="2"/>
  <c r="BU16" i="2"/>
  <c r="BY16" i="2" s="1"/>
  <c r="F16" i="2"/>
  <c r="BX15" i="2"/>
  <c r="BW15" i="2"/>
  <c r="BV15" i="2"/>
  <c r="BU15" i="2"/>
  <c r="BY15" i="2" s="1"/>
  <c r="F15" i="2"/>
  <c r="BX14" i="2"/>
  <c r="BW14" i="2"/>
  <c r="BV14" i="2"/>
  <c r="BU14" i="2"/>
  <c r="BY14" i="2" s="1"/>
  <c r="F14" i="2"/>
  <c r="BX13" i="2"/>
  <c r="BW13" i="2"/>
  <c r="BV13" i="2"/>
  <c r="BU13" i="2"/>
  <c r="BY13" i="2" s="1"/>
  <c r="F13" i="2"/>
  <c r="BX12" i="2"/>
  <c r="BW12" i="2"/>
  <c r="BV12" i="2"/>
  <c r="BU12" i="2"/>
  <c r="BY12" i="2" s="1"/>
  <c r="BX11" i="2"/>
  <c r="BW11" i="2"/>
  <c r="BV11" i="2"/>
  <c r="BU11" i="2"/>
  <c r="BY11" i="2" s="1"/>
  <c r="F11" i="2"/>
  <c r="BX10" i="2"/>
  <c r="BW10" i="2"/>
  <c r="BV10" i="2"/>
  <c r="BU10" i="2"/>
  <c r="BY10" i="2" s="1"/>
  <c r="F10" i="2"/>
  <c r="BX8" i="2"/>
  <c r="BW8" i="2"/>
  <c r="BV8" i="2"/>
  <c r="BU8" i="2"/>
  <c r="BY8" i="2" s="1"/>
  <c r="F8" i="2"/>
  <c r="Y16" i="4"/>
  <c r="AF15" i="4"/>
  <c r="AA15" i="4"/>
  <c r="AF14" i="4"/>
  <c r="AA14" i="4"/>
  <c r="AF13" i="4"/>
  <c r="AA13" i="4"/>
  <c r="AF12" i="4"/>
  <c r="AA12" i="4"/>
  <c r="AF11" i="4"/>
  <c r="AA11" i="4"/>
  <c r="AH10" i="4"/>
  <c r="AH9" i="4"/>
  <c r="AA9" i="4"/>
  <c r="AH8" i="4"/>
  <c r="AH7" i="4"/>
  <c r="AH6" i="4"/>
  <c r="AA6" i="4"/>
  <c r="AH5" i="4"/>
  <c r="AH4" i="4"/>
  <c r="BZ11" i="2" l="1"/>
  <c r="BZ37" i="2"/>
  <c r="BZ29" i="2"/>
  <c r="BZ50" i="2"/>
  <c r="BZ10" i="2"/>
  <c r="BZ28" i="2"/>
  <c r="BZ25" i="2"/>
  <c r="BZ40" i="2"/>
  <c r="BZ49" i="2"/>
  <c r="BZ17" i="2"/>
  <c r="BZ14" i="2"/>
  <c r="BZ34" i="2"/>
  <c r="BZ12" i="2"/>
  <c r="BZ33" i="2"/>
  <c r="BZ47" i="2"/>
  <c r="BZ15" i="2"/>
  <c r="BZ36" i="2"/>
  <c r="BZ41" i="2"/>
  <c r="BZ13" i="2"/>
  <c r="BZ35" i="2"/>
  <c r="BZ24" i="2"/>
  <c r="BZ39" i="2"/>
  <c r="BZ48" i="2"/>
  <c r="BZ16" i="2"/>
  <c r="BZ38" i="2"/>
  <c r="AN5" i="4"/>
  <c r="AN17" i="4"/>
  <c r="AN29" i="4"/>
  <c r="AN41" i="4"/>
  <c r="AN53" i="4"/>
  <c r="AN71" i="4"/>
  <c r="AN83" i="4"/>
  <c r="AN95" i="4"/>
  <c r="AN107" i="4"/>
  <c r="AN119" i="4"/>
  <c r="AN131" i="4"/>
  <c r="AN143" i="4"/>
  <c r="AN155" i="4"/>
  <c r="AN167" i="4"/>
  <c r="AN179" i="4"/>
  <c r="AN191" i="4"/>
  <c r="AN203" i="4"/>
  <c r="AN215" i="4"/>
  <c r="AN227" i="4"/>
  <c r="AN251" i="4"/>
  <c r="AN6" i="4"/>
  <c r="AN18" i="4"/>
  <c r="AN30" i="4"/>
  <c r="AN42" i="4"/>
  <c r="AN54" i="4"/>
  <c r="AN72" i="4"/>
  <c r="AN84" i="4"/>
  <c r="AN96" i="4"/>
  <c r="AN108" i="4"/>
  <c r="AN120" i="4"/>
  <c r="AN132" i="4"/>
  <c r="AN144" i="4"/>
  <c r="AN156" i="4"/>
  <c r="AN168" i="4"/>
  <c r="AN180" i="4"/>
  <c r="AN192" i="4"/>
  <c r="AN204" i="4"/>
  <c r="AN216" i="4"/>
  <c r="AN228" i="4"/>
  <c r="AN7" i="4"/>
  <c r="AN19" i="4"/>
  <c r="AN31" i="4"/>
  <c r="AN43" i="4"/>
  <c r="AN55" i="4"/>
  <c r="AN61" i="4"/>
  <c r="AN73" i="4"/>
  <c r="AN85" i="4"/>
  <c r="AN97" i="4"/>
  <c r="AN109" i="4"/>
  <c r="AN121" i="4"/>
  <c r="AN133" i="4"/>
  <c r="AN145" i="4"/>
  <c r="AN157" i="4"/>
  <c r="AN169" i="4"/>
  <c r="AN181" i="4"/>
  <c r="AN193" i="4"/>
  <c r="AN205" i="4"/>
  <c r="AN217" i="4"/>
  <c r="AN229" i="4"/>
  <c r="AN241" i="4"/>
  <c r="AN253" i="4"/>
  <c r="AN8" i="4"/>
  <c r="AN20" i="4"/>
  <c r="AN32" i="4"/>
  <c r="AN44" i="4"/>
  <c r="AN56" i="4"/>
  <c r="AN62" i="4"/>
  <c r="AN74" i="4"/>
  <c r="AN86" i="4"/>
  <c r="AN98" i="4"/>
  <c r="AN110" i="4"/>
  <c r="AN122" i="4"/>
  <c r="AN134" i="4"/>
  <c r="AN146" i="4"/>
  <c r="AN158" i="4"/>
  <c r="AN170" i="4"/>
  <c r="AN182" i="4"/>
  <c r="AN194" i="4"/>
  <c r="AN206" i="4"/>
  <c r="AN218" i="4"/>
  <c r="AN230" i="4"/>
  <c r="AN242" i="4"/>
  <c r="AN254" i="4"/>
  <c r="AN266" i="4"/>
  <c r="AN255" i="4"/>
  <c r="AN267" i="4"/>
  <c r="AN9" i="4"/>
  <c r="AN21" i="4"/>
  <c r="AN33" i="4"/>
  <c r="AN45" i="4"/>
  <c r="AN57" i="4"/>
  <c r="AN63" i="4"/>
  <c r="AN75" i="4"/>
  <c r="AN87" i="4"/>
  <c r="AN99" i="4"/>
  <c r="AN111" i="4"/>
  <c r="AN123" i="4"/>
  <c r="AN135" i="4"/>
  <c r="AN147" i="4"/>
  <c r="AN159" i="4"/>
  <c r="AN171" i="4"/>
  <c r="AN183" i="4"/>
  <c r="AN195" i="4"/>
  <c r="AN207" i="4"/>
  <c r="AN219" i="4"/>
  <c r="AN231" i="4"/>
  <c r="AN243" i="4"/>
  <c r="AN268" i="4"/>
  <c r="AN10" i="4"/>
  <c r="AN22" i="4"/>
  <c r="AN34" i="4"/>
  <c r="AN46" i="4"/>
  <c r="AN58" i="4"/>
  <c r="AN64" i="4"/>
  <c r="AN76" i="4"/>
  <c r="AN88" i="4"/>
  <c r="AN100" i="4"/>
  <c r="AN112" i="4"/>
  <c r="AN124" i="4"/>
  <c r="AN136" i="4"/>
  <c r="AN148" i="4"/>
  <c r="AN160" i="4"/>
  <c r="AN172" i="4"/>
  <c r="AN184" i="4"/>
  <c r="AN196" i="4"/>
  <c r="AN208" i="4"/>
  <c r="AN220" i="4"/>
  <c r="AN232" i="4"/>
  <c r="AN244" i="4"/>
  <c r="AN256" i="4"/>
  <c r="AN11" i="4"/>
  <c r="AN23" i="4"/>
  <c r="AN35" i="4"/>
  <c r="AN47" i="4"/>
  <c r="AN59" i="4"/>
  <c r="AN65" i="4"/>
  <c r="AN77" i="4"/>
  <c r="AN89" i="4"/>
  <c r="AN101" i="4"/>
  <c r="AN113" i="4"/>
  <c r="AN125" i="4"/>
  <c r="AN137" i="4"/>
  <c r="AN149" i="4"/>
  <c r="AN161" i="4"/>
  <c r="AN173" i="4"/>
  <c r="AN185" i="4"/>
  <c r="AN197" i="4"/>
  <c r="AN209" i="4"/>
  <c r="AN221" i="4"/>
  <c r="AN233" i="4"/>
  <c r="AN245" i="4"/>
  <c r="AN257" i="4"/>
  <c r="AN4" i="4"/>
  <c r="AN259" i="4"/>
  <c r="AN240" i="4"/>
  <c r="AN12" i="4"/>
  <c r="AN24" i="4"/>
  <c r="AN36" i="4"/>
  <c r="AN48" i="4"/>
  <c r="AN60" i="4"/>
  <c r="AN66" i="4"/>
  <c r="AN78" i="4"/>
  <c r="AN90" i="4"/>
  <c r="AN102" i="4"/>
  <c r="AN114" i="4"/>
  <c r="AN126" i="4"/>
  <c r="AN138" i="4"/>
  <c r="AN150" i="4"/>
  <c r="AN162" i="4"/>
  <c r="AN174" i="4"/>
  <c r="AN186" i="4"/>
  <c r="AN198" i="4"/>
  <c r="AN210" i="4"/>
  <c r="AN222" i="4"/>
  <c r="AN234" i="4"/>
  <c r="AN246" i="4"/>
  <c r="AN258" i="4"/>
  <c r="AN223" i="4"/>
  <c r="AN247" i="4"/>
  <c r="AN261" i="4"/>
  <c r="AN13" i="4"/>
  <c r="AN25" i="4"/>
  <c r="AN37" i="4"/>
  <c r="AN49" i="4"/>
  <c r="AN67" i="4"/>
  <c r="AN79" i="4"/>
  <c r="AN91" i="4"/>
  <c r="AN103" i="4"/>
  <c r="AN115" i="4"/>
  <c r="AN127" i="4"/>
  <c r="AN139" i="4"/>
  <c r="AN151" i="4"/>
  <c r="AN163" i="4"/>
  <c r="AN175" i="4"/>
  <c r="AN187" i="4"/>
  <c r="AN199" i="4"/>
  <c r="AN211" i="4"/>
  <c r="AN235" i="4"/>
  <c r="AN260" i="4"/>
  <c r="AN14" i="4"/>
  <c r="AN26" i="4"/>
  <c r="AN38" i="4"/>
  <c r="AN50" i="4"/>
  <c r="AN68" i="4"/>
  <c r="AN80" i="4"/>
  <c r="AN92" i="4"/>
  <c r="AN104" i="4"/>
  <c r="AN116" i="4"/>
  <c r="AN128" i="4"/>
  <c r="AN140" i="4"/>
  <c r="AN152" i="4"/>
  <c r="AN164" i="4"/>
  <c r="AN176" i="4"/>
  <c r="AN188" i="4"/>
  <c r="AN200" i="4"/>
  <c r="AN212" i="4"/>
  <c r="AN224" i="4"/>
  <c r="AN236" i="4"/>
  <c r="AN248" i="4"/>
  <c r="AN264" i="4"/>
  <c r="AN15" i="4"/>
  <c r="AN27" i="4"/>
  <c r="AN39" i="4"/>
  <c r="AN51" i="4"/>
  <c r="AN69" i="4"/>
  <c r="AN81" i="4"/>
  <c r="AN93" i="4"/>
  <c r="AN105" i="4"/>
  <c r="AN117" i="4"/>
  <c r="AN129" i="4"/>
  <c r="AN141" i="4"/>
  <c r="AN153" i="4"/>
  <c r="AN165" i="4"/>
  <c r="AN177" i="4"/>
  <c r="AN189" i="4"/>
  <c r="AN201" i="4"/>
  <c r="AN213" i="4"/>
  <c r="AN225" i="4"/>
  <c r="AN237" i="4"/>
  <c r="AN249" i="4"/>
  <c r="AN265" i="4"/>
  <c r="AN16" i="4"/>
  <c r="AN28" i="4"/>
  <c r="AN40" i="4"/>
  <c r="AN52" i="4"/>
  <c r="AN70" i="4"/>
  <c r="AN82" i="4"/>
  <c r="AN94" i="4"/>
  <c r="AN106" i="4"/>
  <c r="AN118" i="4"/>
  <c r="AN130" i="4"/>
  <c r="AN142" i="4"/>
  <c r="AN154" i="4"/>
  <c r="AN166" i="4"/>
  <c r="AN178" i="4"/>
  <c r="AN190" i="4"/>
  <c r="AN202" i="4"/>
  <c r="AN214" i="4"/>
  <c r="AN226" i="4"/>
  <c r="AN238" i="4"/>
  <c r="AN250" i="4"/>
  <c r="AN262" i="4"/>
  <c r="AN239" i="4"/>
  <c r="AN263" i="4"/>
  <c r="AN252" i="4"/>
  <c r="BZ54" i="2"/>
  <c r="BZ8" i="2"/>
  <c r="BZ27" i="2"/>
  <c r="BZ51" i="2"/>
  <c r="Y13" i="4"/>
  <c r="Y11" i="4"/>
  <c r="AH12" i="4"/>
  <c r="AH14" i="4"/>
  <c r="Y15" i="4"/>
  <c r="AA16" i="4"/>
  <c r="Y9" i="4"/>
  <c r="AF9" i="4"/>
  <c r="AF4" i="4"/>
  <c r="Y6" i="4"/>
  <c r="AF6" i="4"/>
  <c r="AF10" i="4"/>
  <c r="AF5" i="4"/>
  <c r="AF7" i="4"/>
  <c r="AF8" i="4"/>
  <c r="AH11" i="4"/>
  <c r="Y12" i="4"/>
  <c r="AH13" i="4"/>
  <c r="Y14" i="4"/>
  <c r="AH15" i="4"/>
  <c r="AF16" i="4"/>
  <c r="AH16" i="4"/>
  <c r="AA8" i="4"/>
  <c r="Y8" i="4"/>
  <c r="AA4" i="4"/>
  <c r="Y4" i="4"/>
  <c r="AA5" i="4"/>
  <c r="Y5" i="4"/>
  <c r="AA7" i="4"/>
  <c r="Y7" i="4"/>
  <c r="AA10" i="4"/>
  <c r="Y10" i="4"/>
  <c r="B14" i="1" l="1"/>
  <c r="B15" i="1"/>
  <c r="B31" i="1"/>
  <c r="B47" i="1"/>
  <c r="C47" i="1" s="1"/>
  <c r="B49" i="1"/>
  <c r="F49" i="1" s="1"/>
  <c r="B52" i="1"/>
  <c r="F52" i="1" s="1"/>
  <c r="B59" i="1"/>
  <c r="F59" i="1" s="1"/>
  <c r="B16" i="1"/>
  <c r="B32" i="1"/>
  <c r="B48" i="1"/>
  <c r="C48" i="1" s="1"/>
  <c r="B33" i="1"/>
  <c r="B36" i="1"/>
  <c r="C36" i="1" s="1"/>
  <c r="B17" i="1"/>
  <c r="B46" i="1"/>
  <c r="C46" i="1" s="1"/>
  <c r="B18" i="1"/>
  <c r="B34" i="1"/>
  <c r="B50" i="1"/>
  <c r="F50" i="1" s="1"/>
  <c r="B35" i="1"/>
  <c r="C35" i="1" s="1"/>
  <c r="B51" i="1"/>
  <c r="F51" i="1" s="1"/>
  <c r="B43" i="1"/>
  <c r="C43" i="1" s="1"/>
  <c r="B19" i="1"/>
  <c r="B20" i="1"/>
  <c r="B21" i="1"/>
  <c r="B37" i="1"/>
  <c r="C37" i="1" s="1"/>
  <c r="B53" i="1"/>
  <c r="F53" i="1" s="1"/>
  <c r="B54" i="1"/>
  <c r="F54" i="1" s="1"/>
  <c r="B44" i="1"/>
  <c r="C44" i="1" s="1"/>
  <c r="B22" i="1"/>
  <c r="B38" i="1"/>
  <c r="C38" i="1" s="1"/>
  <c r="B45" i="1"/>
  <c r="C45" i="1" s="1"/>
  <c r="B23" i="1"/>
  <c r="B39" i="1"/>
  <c r="C39" i="1" s="1"/>
  <c r="B55" i="1"/>
  <c r="F55" i="1" s="1"/>
  <c r="B56" i="1"/>
  <c r="F56" i="1" s="1"/>
  <c r="B57" i="1"/>
  <c r="F57" i="1" s="1"/>
  <c r="B58" i="1"/>
  <c r="F58" i="1" s="1"/>
  <c r="B60" i="1"/>
  <c r="F60" i="1" s="1"/>
  <c r="B24" i="1"/>
  <c r="B40" i="1"/>
  <c r="C40" i="1" s="1"/>
  <c r="B41" i="1"/>
  <c r="C41" i="1" s="1"/>
  <c r="B42" i="1"/>
  <c r="C42" i="1" s="1"/>
  <c r="B61" i="1"/>
  <c r="F61" i="1" s="1"/>
  <c r="B25" i="1"/>
  <c r="B26" i="1"/>
  <c r="B30" i="1"/>
  <c r="B27" i="1"/>
  <c r="B28" i="1"/>
  <c r="B29" i="1"/>
  <c r="C27" i="1"/>
  <c r="C34" i="1"/>
  <c r="C25" i="1"/>
  <c r="C32" i="1"/>
  <c r="C33" i="1"/>
  <c r="C14" i="1"/>
  <c r="C19" i="1"/>
  <c r="C26" i="1"/>
  <c r="C22" i="1"/>
  <c r="C23" i="1"/>
  <c r="C21" i="1"/>
  <c r="C31" i="1"/>
  <c r="C30" i="1"/>
  <c r="C20" i="1"/>
  <c r="C28" i="1"/>
  <c r="C29" i="1"/>
  <c r="C59" i="1" l="1"/>
  <c r="C52" i="1"/>
  <c r="C50" i="1"/>
  <c r="C56" i="1"/>
  <c r="C51" i="1"/>
  <c r="C53" i="1"/>
  <c r="C49" i="1"/>
  <c r="C55" i="1"/>
  <c r="C58" i="1"/>
  <c r="C60" i="1"/>
  <c r="C57" i="1"/>
  <c r="C54" i="1"/>
  <c r="C61" i="1"/>
  <c r="F29" i="1"/>
  <c r="F41" i="1"/>
  <c r="F39" i="1"/>
  <c r="F37" i="1"/>
  <c r="F34" i="1"/>
  <c r="F40" i="1"/>
  <c r="F23" i="1"/>
  <c r="F21" i="1"/>
  <c r="F45" i="1"/>
  <c r="F20" i="1"/>
  <c r="F46" i="1"/>
  <c r="F28" i="1"/>
  <c r="F38" i="1"/>
  <c r="F19" i="1"/>
  <c r="F26" i="1"/>
  <c r="F22" i="1"/>
  <c r="F43" i="1"/>
  <c r="F36" i="1"/>
  <c r="F47" i="1"/>
  <c r="F25" i="1"/>
  <c r="F44" i="1"/>
  <c r="F33" i="1"/>
  <c r="F31" i="1"/>
  <c r="F27" i="1"/>
  <c r="F35" i="1"/>
  <c r="F48" i="1"/>
  <c r="F30" i="1"/>
  <c r="F42" i="1"/>
  <c r="F32" i="1"/>
  <c r="E14" i="1"/>
  <c r="F14" i="1"/>
  <c r="H38" i="1"/>
  <c r="H29" i="1"/>
  <c r="H30" i="1"/>
  <c r="H26" i="1"/>
  <c r="H22" i="1"/>
  <c r="H36" i="1"/>
  <c r="H25" i="1"/>
  <c r="H44" i="1"/>
  <c r="H33" i="1"/>
  <c r="H61" i="1"/>
  <c r="H54" i="1"/>
  <c r="H48" i="1"/>
  <c r="H27" i="1"/>
  <c r="H42" i="1"/>
  <c r="H53" i="1"/>
  <c r="H32" i="1"/>
  <c r="H37" i="1"/>
  <c r="H41" i="1"/>
  <c r="H21" i="1"/>
  <c r="H59" i="1"/>
  <c r="H23" i="1"/>
  <c r="H40" i="1"/>
  <c r="H20" i="1"/>
  <c r="H52" i="1"/>
  <c r="H45" i="1"/>
  <c r="H60" i="1"/>
  <c r="H19" i="1"/>
  <c r="H49" i="1"/>
  <c r="H34" i="1"/>
  <c r="H58" i="1"/>
  <c r="H43" i="1"/>
  <c r="H47" i="1"/>
  <c r="H39" i="1"/>
  <c r="H57" i="1"/>
  <c r="H51" i="1"/>
  <c r="H31" i="1"/>
  <c r="H46" i="1"/>
  <c r="H56" i="1"/>
  <c r="H35" i="1"/>
  <c r="H28" i="1"/>
  <c r="H55" i="1"/>
  <c r="H50" i="1"/>
  <c r="H14" i="1"/>
  <c r="U58" i="1"/>
  <c r="S58" i="1"/>
  <c r="U61" i="1"/>
  <c r="S61" i="1"/>
  <c r="U30" i="1"/>
  <c r="S30" i="1"/>
  <c r="U37" i="1"/>
  <c r="S37" i="1"/>
  <c r="U40" i="1"/>
  <c r="S40" i="1"/>
  <c r="U45" i="1"/>
  <c r="S45" i="1"/>
  <c r="U53" i="1"/>
  <c r="S53" i="1"/>
  <c r="U48" i="1"/>
  <c r="S48" i="1"/>
  <c r="U56" i="1"/>
  <c r="S56" i="1"/>
  <c r="U60" i="1"/>
  <c r="S60" i="1"/>
  <c r="U54" i="1"/>
  <c r="S54" i="1"/>
  <c r="U49" i="1"/>
  <c r="S49" i="1"/>
  <c r="U55" i="1"/>
  <c r="S55" i="1"/>
  <c r="U43" i="1"/>
  <c r="S43" i="1"/>
  <c r="U27" i="1"/>
  <c r="S27" i="1"/>
  <c r="U59" i="1"/>
  <c r="S59" i="1"/>
  <c r="U28" i="1"/>
  <c r="S28" i="1"/>
  <c r="U41" i="1"/>
  <c r="S41" i="1"/>
  <c r="U39" i="1"/>
  <c r="S39" i="1"/>
  <c r="U38" i="1"/>
  <c r="S38" i="1"/>
  <c r="U42" i="1"/>
  <c r="S42" i="1"/>
  <c r="U44" i="1"/>
  <c r="S44" i="1"/>
  <c r="U51" i="1"/>
  <c r="S51" i="1"/>
  <c r="U31" i="1"/>
  <c r="S31" i="1"/>
  <c r="U52" i="1"/>
  <c r="S52" i="1"/>
  <c r="U34" i="1"/>
  <c r="S34" i="1"/>
  <c r="U33" i="1"/>
  <c r="S33" i="1"/>
  <c r="U57" i="1"/>
  <c r="S57" i="1"/>
  <c r="U32" i="1"/>
  <c r="S32" i="1"/>
  <c r="U29" i="1"/>
  <c r="S29" i="1"/>
  <c r="U46" i="1"/>
  <c r="S46" i="1"/>
  <c r="U50" i="1"/>
  <c r="S50" i="1"/>
  <c r="U35" i="1"/>
  <c r="S35" i="1"/>
  <c r="U47" i="1"/>
  <c r="S47" i="1"/>
  <c r="U36" i="1"/>
  <c r="S36" i="1"/>
  <c r="T56" i="1"/>
  <c r="T51" i="1"/>
  <c r="T52" i="1"/>
  <c r="T32" i="1"/>
  <c r="T46" i="1"/>
  <c r="T50" i="1"/>
  <c r="T30" i="1"/>
  <c r="T37" i="1"/>
  <c r="T40" i="1"/>
  <c r="T55" i="1"/>
  <c r="T53" i="1"/>
  <c r="T41" i="1"/>
  <c r="T45" i="1"/>
  <c r="T58" i="1"/>
  <c r="T42" i="1"/>
  <c r="T54" i="1"/>
  <c r="T43" i="1"/>
  <c r="T44" i="1"/>
  <c r="T33" i="1"/>
  <c r="T35" i="1"/>
  <c r="T27" i="1"/>
  <c r="T59" i="1"/>
  <c r="T28" i="1"/>
  <c r="T39" i="1"/>
  <c r="T38" i="1"/>
  <c r="T49" i="1"/>
  <c r="T61" i="1"/>
  <c r="T34" i="1"/>
  <c r="T57" i="1"/>
  <c r="T47" i="1"/>
  <c r="T48" i="1"/>
  <c r="T60" i="1"/>
  <c r="T31" i="1"/>
  <c r="T29" i="1"/>
  <c r="T36" i="1"/>
  <c r="R34" i="1"/>
  <c r="R50" i="1"/>
  <c r="R36" i="1"/>
  <c r="R30" i="1"/>
  <c r="R55" i="1"/>
  <c r="R53" i="1"/>
  <c r="R41" i="1"/>
  <c r="R61" i="1"/>
  <c r="R37" i="1"/>
  <c r="R40" i="1"/>
  <c r="R45" i="1"/>
  <c r="R58" i="1"/>
  <c r="R42" i="1"/>
  <c r="R32" i="1"/>
  <c r="R48" i="1"/>
  <c r="R49" i="1"/>
  <c r="R43" i="1"/>
  <c r="R44" i="1"/>
  <c r="R33" i="1"/>
  <c r="R35" i="1"/>
  <c r="R57" i="1"/>
  <c r="R29" i="1"/>
  <c r="R60" i="1"/>
  <c r="R59" i="1"/>
  <c r="R39" i="1"/>
  <c r="R38" i="1"/>
  <c r="R47" i="1"/>
  <c r="R46" i="1"/>
  <c r="R56" i="1"/>
  <c r="R54" i="1"/>
  <c r="R27" i="1"/>
  <c r="R28" i="1"/>
  <c r="R51" i="1"/>
  <c r="R31" i="1"/>
  <c r="R52" i="1"/>
  <c r="J46" i="1"/>
  <c r="J45" i="1"/>
  <c r="J58" i="1"/>
  <c r="J42" i="1"/>
  <c r="J50" i="1"/>
  <c r="J53" i="1"/>
  <c r="J56" i="1"/>
  <c r="J48" i="1"/>
  <c r="J43" i="1"/>
  <c r="J44" i="1"/>
  <c r="J55" i="1"/>
  <c r="J60" i="1"/>
  <c r="J54" i="1"/>
  <c r="J49" i="1"/>
  <c r="J59" i="1"/>
  <c r="J51" i="1"/>
  <c r="J52" i="1"/>
  <c r="J61" i="1"/>
  <c r="J57" i="1"/>
  <c r="J47" i="1"/>
  <c r="G53" i="1"/>
  <c r="G45" i="1"/>
  <c r="G58" i="1"/>
  <c r="G42" i="1"/>
  <c r="G55" i="1"/>
  <c r="G48" i="1"/>
  <c r="G56" i="1"/>
  <c r="G54" i="1"/>
  <c r="G60" i="1"/>
  <c r="G43" i="1"/>
  <c r="G44" i="1"/>
  <c r="G59" i="1"/>
  <c r="G51" i="1"/>
  <c r="G52" i="1"/>
  <c r="G49" i="1"/>
  <c r="G61" i="1"/>
  <c r="G57" i="1"/>
  <c r="G47" i="1"/>
  <c r="G46" i="1"/>
  <c r="G50" i="1"/>
  <c r="T22" i="1"/>
  <c r="T17" i="1"/>
  <c r="T20" i="1"/>
  <c r="T14" i="1"/>
  <c r="T15" i="1"/>
  <c r="T26" i="1"/>
  <c r="R23" i="1"/>
  <c r="R25" i="1"/>
  <c r="R18" i="1"/>
  <c r="R26" i="1"/>
  <c r="R24" i="1"/>
  <c r="T18" i="1"/>
  <c r="R19" i="1"/>
  <c r="R22" i="1"/>
  <c r="R16" i="1"/>
  <c r="R14" i="1"/>
  <c r="R20" i="1"/>
  <c r="T19" i="1"/>
  <c r="T23" i="1"/>
  <c r="R21" i="1"/>
  <c r="T21" i="1"/>
  <c r="T24" i="1"/>
  <c r="R17" i="1"/>
  <c r="R15" i="1"/>
  <c r="T16" i="1"/>
  <c r="T25" i="1"/>
  <c r="C18" i="1"/>
  <c r="C15" i="1"/>
  <c r="C17" i="1"/>
  <c r="C16" i="1"/>
  <c r="C24" i="1"/>
  <c r="F17" i="1" l="1"/>
  <c r="F18" i="1"/>
  <c r="F15" i="1"/>
  <c r="F24" i="1"/>
  <c r="F16" i="1"/>
  <c r="H16" i="1"/>
  <c r="H15" i="1"/>
  <c r="H24" i="1"/>
  <c r="H17" i="1"/>
  <c r="H18" i="1"/>
  <c r="I10" i="16"/>
  <c r="E47" i="1"/>
  <c r="G34" i="1"/>
  <c r="J34" i="1"/>
  <c r="E45" i="1"/>
  <c r="E59" i="1"/>
  <c r="E56" i="1"/>
  <c r="G39" i="1"/>
  <c r="J39" i="1"/>
  <c r="E58" i="1"/>
  <c r="E48" i="1"/>
  <c r="J37" i="1"/>
  <c r="G37" i="1"/>
  <c r="E41" i="1"/>
  <c r="G41" i="1"/>
  <c r="J41" i="1"/>
  <c r="G38" i="1"/>
  <c r="J38" i="1"/>
  <c r="J28" i="1"/>
  <c r="G28" i="1"/>
  <c r="E50" i="1"/>
  <c r="E44" i="1"/>
  <c r="E53" i="1"/>
  <c r="E46" i="1"/>
  <c r="E43" i="1"/>
  <c r="J40" i="1"/>
  <c r="E40" i="1"/>
  <c r="G40" i="1"/>
  <c r="J30" i="1"/>
  <c r="G30" i="1"/>
  <c r="G29" i="1"/>
  <c r="J29" i="1"/>
  <c r="E57" i="1"/>
  <c r="E42" i="1"/>
  <c r="E61" i="1"/>
  <c r="J33" i="1"/>
  <c r="G33" i="1"/>
  <c r="E52" i="1"/>
  <c r="G32" i="1"/>
  <c r="J32" i="1"/>
  <c r="E49" i="1"/>
  <c r="G35" i="1"/>
  <c r="J35" i="1"/>
  <c r="E51" i="1"/>
  <c r="E54" i="1"/>
  <c r="G27" i="1"/>
  <c r="J27" i="1"/>
  <c r="G31" i="1"/>
  <c r="J31" i="1"/>
  <c r="G36" i="1"/>
  <c r="J36" i="1"/>
  <c r="E55" i="1"/>
  <c r="E60" i="1"/>
  <c r="U20" i="1"/>
  <c r="U21" i="1"/>
  <c r="U23" i="1"/>
  <c r="U17" i="1"/>
  <c r="U16" i="1"/>
  <c r="U18" i="1"/>
  <c r="U22" i="1"/>
  <c r="U19" i="1"/>
  <c r="U15" i="1"/>
  <c r="U25" i="1"/>
  <c r="U26" i="1"/>
  <c r="U24" i="1"/>
  <c r="U14" i="1"/>
  <c r="E35" i="1"/>
  <c r="E36" i="1"/>
  <c r="E33" i="1"/>
  <c r="E34" i="1"/>
  <c r="E38" i="1"/>
  <c r="E39" i="1"/>
  <c r="E37" i="1"/>
  <c r="E28" i="1"/>
  <c r="E30" i="1"/>
  <c r="E29" i="1"/>
  <c r="E27" i="1"/>
  <c r="E32" i="1"/>
  <c r="E31" i="1"/>
  <c r="E20" i="1"/>
  <c r="E21" i="1"/>
  <c r="E23" i="1"/>
  <c r="E17" i="1"/>
  <c r="E18" i="1"/>
  <c r="E22" i="1"/>
  <c r="E19" i="1"/>
  <c r="E25" i="1"/>
  <c r="E26" i="1"/>
  <c r="E24" i="1"/>
  <c r="E16" i="1"/>
  <c r="E15" i="1"/>
  <c r="J25" i="1"/>
  <c r="G25" i="1"/>
  <c r="J26" i="1"/>
  <c r="G26" i="1"/>
  <c r="G24" i="1"/>
  <c r="J24" i="1"/>
  <c r="J20" i="1"/>
  <c r="J21" i="1"/>
  <c r="J23" i="1"/>
  <c r="J17" i="1"/>
  <c r="J16" i="1"/>
  <c r="J18" i="1"/>
  <c r="J22" i="1"/>
  <c r="J19" i="1"/>
  <c r="J15" i="1"/>
  <c r="J14" i="1"/>
  <c r="G20" i="1"/>
  <c r="G21" i="1"/>
  <c r="G23" i="1"/>
  <c r="G17" i="1"/>
  <c r="G16" i="1"/>
  <c r="G18" i="1"/>
  <c r="G22" i="1"/>
  <c r="G19" i="1"/>
  <c r="G15" i="1"/>
  <c r="G14" i="1"/>
  <c r="I14" i="1"/>
  <c r="I20" i="1"/>
  <c r="I19" i="1"/>
  <c r="I24" i="1"/>
  <c r="I22" i="1"/>
  <c r="I17" i="1"/>
  <c r="I18" i="1"/>
  <c r="I16" i="1"/>
  <c r="I15" i="1"/>
  <c r="I23" i="1"/>
  <c r="I21" i="1"/>
  <c r="I48" i="1"/>
  <c r="I28" i="1"/>
  <c r="I46" i="1"/>
  <c r="I45" i="1"/>
  <c r="I27" i="1"/>
  <c r="I32" i="1"/>
  <c r="M32" i="1" s="1"/>
  <c r="I35" i="1"/>
  <c r="I57" i="1"/>
  <c r="I53" i="1"/>
  <c r="I44" i="1"/>
  <c r="I61" i="1"/>
  <c r="I49" i="1"/>
  <c r="I31" i="1"/>
  <c r="M31" i="1" s="1"/>
  <c r="I37" i="1"/>
  <c r="I60" i="1"/>
  <c r="I51" i="1"/>
  <c r="I36" i="1"/>
  <c r="I56" i="1"/>
  <c r="I38" i="1"/>
  <c r="I39" i="1"/>
  <c r="I50" i="1"/>
  <c r="I42" i="1"/>
  <c r="I58" i="1"/>
  <c r="I59" i="1"/>
  <c r="I29" i="1"/>
  <c r="I47" i="1"/>
  <c r="O47" i="1" s="1"/>
  <c r="I41" i="1"/>
  <c r="I33" i="1"/>
  <c r="I34" i="1"/>
  <c r="I55" i="1"/>
  <c r="I43" i="1"/>
  <c r="I52" i="1"/>
  <c r="I40" i="1"/>
  <c r="I54" i="1"/>
  <c r="I30" i="1"/>
  <c r="I25" i="1"/>
  <c r="I26" i="1"/>
  <c r="S22" i="1"/>
  <c r="S18" i="1"/>
  <c r="S23" i="1"/>
  <c r="S25" i="1"/>
  <c r="S26" i="1"/>
  <c r="S21" i="1"/>
  <c r="S24" i="1"/>
  <c r="S19" i="1"/>
  <c r="S17" i="1"/>
  <c r="S14" i="1"/>
  <c r="S20" i="1"/>
  <c r="S16" i="1"/>
  <c r="S15" i="1"/>
  <c r="P10" i="16" l="1"/>
  <c r="M10" i="16"/>
  <c r="L10" i="16"/>
  <c r="N10" i="16"/>
  <c r="O10" i="16"/>
  <c r="L14" i="1"/>
  <c r="M16" i="1"/>
  <c r="P14" i="1"/>
  <c r="O14" i="1"/>
  <c r="L24" i="1"/>
  <c r="P19" i="1"/>
  <c r="L16" i="1"/>
  <c r="L22" i="1"/>
  <c r="L19" i="1"/>
  <c r="L17" i="1"/>
  <c r="L20" i="1"/>
  <c r="L23" i="1"/>
  <c r="L15" i="1"/>
  <c r="P20" i="1"/>
  <c r="L21" i="1"/>
  <c r="L18" i="1"/>
  <c r="P18" i="1"/>
  <c r="P21" i="1"/>
  <c r="P16" i="1"/>
  <c r="P15" i="1"/>
  <c r="P17" i="1"/>
  <c r="O15" i="1"/>
  <c r="P22" i="1"/>
  <c r="P23" i="1"/>
  <c r="P24" i="1"/>
  <c r="N31" i="1"/>
  <c r="O27" i="1"/>
  <c r="L43" i="1"/>
  <c r="P55" i="1"/>
  <c r="L41" i="1"/>
  <c r="L59" i="1"/>
  <c r="P58" i="1"/>
  <c r="L49" i="1"/>
  <c r="P45" i="1"/>
  <c r="N32" i="1"/>
  <c r="O33" i="1"/>
  <c r="P50" i="1"/>
  <c r="P61" i="1"/>
  <c r="P44" i="1"/>
  <c r="P52" i="1"/>
  <c r="P43" i="1"/>
  <c r="P49" i="1"/>
  <c r="L44" i="1"/>
  <c r="P39" i="1"/>
  <c r="L33" i="1"/>
  <c r="L29" i="1"/>
  <c r="L36" i="1"/>
  <c r="P31" i="1"/>
  <c r="P33" i="1"/>
  <c r="P29" i="1"/>
  <c r="P36" i="1"/>
  <c r="P37" i="1"/>
  <c r="P32" i="1"/>
  <c r="P28" i="1"/>
  <c r="P30" i="1"/>
  <c r="P38" i="1"/>
  <c r="P41" i="1"/>
  <c r="P59" i="1"/>
  <c r="P51" i="1"/>
  <c r="P53" i="1"/>
  <c r="P27" i="1"/>
  <c r="P48" i="1"/>
  <c r="L40" i="1"/>
  <c r="P34" i="1"/>
  <c r="P42" i="1"/>
  <c r="L56" i="1"/>
  <c r="P54" i="1"/>
  <c r="P40" i="1"/>
  <c r="L55" i="1"/>
  <c r="P47" i="1"/>
  <c r="L58" i="1"/>
  <c r="L38" i="1"/>
  <c r="P56" i="1"/>
  <c r="P60" i="1"/>
  <c r="P57" i="1"/>
  <c r="P35" i="1"/>
  <c r="P46" i="1"/>
  <c r="N40" i="1"/>
  <c r="M40" i="1"/>
  <c r="N35" i="1"/>
  <c r="M35" i="1"/>
  <c r="N52" i="1"/>
  <c r="M52" i="1"/>
  <c r="N30" i="1"/>
  <c r="M30" i="1"/>
  <c r="N33" i="1"/>
  <c r="M33" i="1"/>
  <c r="L53" i="1"/>
  <c r="L35" i="1"/>
  <c r="L32" i="1"/>
  <c r="L27" i="1"/>
  <c r="L45" i="1"/>
  <c r="L46" i="1"/>
  <c r="L28" i="1"/>
  <c r="L48" i="1"/>
  <c r="N39" i="1"/>
  <c r="M39" i="1"/>
  <c r="N56" i="1"/>
  <c r="M56" i="1"/>
  <c r="N47" i="1"/>
  <c r="M47" i="1"/>
  <c r="N37" i="1"/>
  <c r="M37" i="1"/>
  <c r="L26" i="1"/>
  <c r="L25" i="1"/>
  <c r="L54" i="1"/>
  <c r="L52" i="1"/>
  <c r="L34" i="1"/>
  <c r="L47" i="1"/>
  <c r="L42" i="1"/>
  <c r="L50" i="1"/>
  <c r="L39" i="1"/>
  <c r="L60" i="1"/>
  <c r="N43" i="1"/>
  <c r="M43" i="1"/>
  <c r="N46" i="1"/>
  <c r="M46" i="1"/>
  <c r="N61" i="1"/>
  <c r="M61" i="1"/>
  <c r="N45" i="1"/>
  <c r="M45" i="1"/>
  <c r="N49" i="1"/>
  <c r="M49" i="1"/>
  <c r="N42" i="1"/>
  <c r="M42" i="1"/>
  <c r="N50" i="1"/>
  <c r="M50" i="1"/>
  <c r="N48" i="1"/>
  <c r="M48" i="1"/>
  <c r="N55" i="1"/>
  <c r="M55" i="1"/>
  <c r="N51" i="1"/>
  <c r="M51" i="1"/>
  <c r="N57" i="1"/>
  <c r="M57" i="1"/>
  <c r="N27" i="1"/>
  <c r="M27" i="1"/>
  <c r="P26" i="1"/>
  <c r="L51" i="1"/>
  <c r="L37" i="1"/>
  <c r="L31" i="1"/>
  <c r="L61" i="1"/>
  <c r="L57" i="1"/>
  <c r="N53" i="1"/>
  <c r="M53" i="1"/>
  <c r="N38" i="1"/>
  <c r="M38" i="1"/>
  <c r="N29" i="1"/>
  <c r="M29" i="1"/>
  <c r="N58" i="1"/>
  <c r="M58" i="1"/>
  <c r="N34" i="1"/>
  <c r="M34" i="1"/>
  <c r="N59" i="1"/>
  <c r="M59" i="1"/>
  <c r="N36" i="1"/>
  <c r="M36" i="1"/>
  <c r="N54" i="1"/>
  <c r="M54" i="1"/>
  <c r="N41" i="1"/>
  <c r="M41" i="1"/>
  <c r="N44" i="1"/>
  <c r="M44" i="1"/>
  <c r="N60" i="1"/>
  <c r="M60" i="1"/>
  <c r="N28" i="1"/>
  <c r="M28" i="1"/>
  <c r="P25" i="1"/>
  <c r="L30" i="1"/>
  <c r="N25" i="1"/>
  <c r="M25" i="1"/>
  <c r="N26" i="1"/>
  <c r="M26" i="1"/>
  <c r="N22" i="1"/>
  <c r="M22" i="1"/>
  <c r="N20" i="1"/>
  <c r="M20" i="1"/>
  <c r="N19" i="1"/>
  <c r="M19" i="1"/>
  <c r="N15" i="1"/>
  <c r="M15" i="1"/>
  <c r="N24" i="1"/>
  <c r="M24" i="1"/>
  <c r="N18" i="1"/>
  <c r="M18" i="1"/>
  <c r="N17" i="1"/>
  <c r="M17" i="1"/>
  <c r="N23" i="1"/>
  <c r="M23" i="1"/>
  <c r="N21" i="1"/>
  <c r="M21" i="1"/>
  <c r="N14" i="1"/>
  <c r="M14" i="1"/>
  <c r="O41" i="1"/>
  <c r="O36" i="1"/>
  <c r="O59" i="1"/>
  <c r="O49" i="1"/>
  <c r="O61" i="1"/>
  <c r="O42" i="1"/>
  <c r="O52" i="1"/>
  <c r="O53" i="1"/>
  <c r="O55" i="1"/>
  <c r="O28" i="1"/>
  <c r="O31" i="1"/>
  <c r="O51" i="1"/>
  <c r="O44" i="1"/>
  <c r="O48" i="1"/>
  <c r="O46" i="1"/>
  <c r="O60" i="1"/>
  <c r="O43" i="1"/>
  <c r="O58" i="1"/>
  <c r="O56" i="1"/>
  <c r="O57" i="1"/>
  <c r="O54" i="1"/>
  <c r="O39" i="1"/>
  <c r="O32" i="1"/>
  <c r="O40" i="1"/>
  <c r="O35" i="1"/>
  <c r="O50" i="1"/>
  <c r="O29" i="1"/>
  <c r="O37" i="1"/>
  <c r="O45" i="1"/>
  <c r="O38" i="1"/>
  <c r="O34" i="1"/>
  <c r="O30" i="1"/>
  <c r="N16" i="1"/>
  <c r="O17" i="1"/>
  <c r="O18" i="1"/>
  <c r="O16" i="1"/>
  <c r="O24" i="1"/>
  <c r="O21" i="1"/>
  <c r="O26" i="1"/>
  <c r="O25" i="1"/>
  <c r="O19" i="1"/>
  <c r="O22" i="1"/>
  <c r="O23" i="1"/>
  <c r="O20" i="1"/>
</calcChain>
</file>

<file path=xl/sharedStrings.xml><?xml version="1.0" encoding="utf-8"?>
<sst xmlns="http://schemas.openxmlformats.org/spreadsheetml/2006/main" count="699" uniqueCount="360">
  <si>
    <t>Contents</t>
  </si>
  <si>
    <t>Tab</t>
  </si>
  <si>
    <t>Description</t>
  </si>
  <si>
    <t>Level 1-3 scale</t>
  </si>
  <si>
    <t>Visual representations of the salary scales for each of the indicated staff groups.</t>
  </si>
  <si>
    <t>Apprenticeship scale</t>
  </si>
  <si>
    <t>Level 4-6 scale</t>
  </si>
  <si>
    <t>Level 7 scale</t>
  </si>
  <si>
    <t>Level 7 R&amp;T banded scale</t>
  </si>
  <si>
    <t>Clinical scales</t>
  </si>
  <si>
    <t>Casual worker scales</t>
  </si>
  <si>
    <t>Standard rates calculator</t>
  </si>
  <si>
    <t>Calculator which estimates the salary and on-costs (employer's pension contributions, National Insurance contributions, and apprenticeship levy) for each spine point on any of the salary scales.</t>
  </si>
  <si>
    <t>Offscale rates calculator</t>
  </si>
  <si>
    <t>Calculator which estimates the salary and on-costs (employer's pension contributions, National Insurance contributions, and apprenticeship levy) for salary values that do not match any spine point on the salary scales.</t>
  </si>
  <si>
    <t>Version control</t>
  </si>
  <si>
    <t>Document version</t>
  </si>
  <si>
    <t>Key dates</t>
  </si>
  <si>
    <t>Update</t>
  </si>
  <si>
    <t>Staff groups</t>
  </si>
  <si>
    <t>Effective Date</t>
  </si>
  <si>
    <t>Date amended in this file</t>
  </si>
  <si>
    <t>Pay Award</t>
  </si>
  <si>
    <t>L1-3, excluding TS</t>
  </si>
  <si>
    <t>L4-7, excluding TS</t>
  </si>
  <si>
    <t>L1-3 TS</t>
  </si>
  <si>
    <t>L4-7 TS</t>
  </si>
  <si>
    <t>NI and NLW Rates</t>
  </si>
  <si>
    <t>All staff</t>
  </si>
  <si>
    <t>Clinical Salaries</t>
  </si>
  <si>
    <t>Doctors in training, medical research fellows, clinical lecturers</t>
  </si>
  <si>
    <t>USS Rate</t>
  </si>
  <si>
    <t>L4-7</t>
  </si>
  <si>
    <t>NHS Rate</t>
  </si>
  <si>
    <t>Clinical academic staff</t>
  </si>
  <si>
    <t>CPAS Rate</t>
  </si>
  <si>
    <t>L1-3 (closed to new members since 2006)</t>
  </si>
  <si>
    <t>CRSP Rate</t>
  </si>
  <si>
    <t>L1-3</t>
  </si>
  <si>
    <t>Spreadsheet last updated</t>
  </si>
  <si>
    <t>Produced by the HR MIS team</t>
  </si>
  <si>
    <t>Level 1-3 Spinal Salary Scale</t>
  </si>
  <si>
    <t>This spinal scale is agreed locally and is applicable to all non-clinical staff groups at pay levels 1-3.</t>
  </si>
  <si>
    <t>Point</t>
  </si>
  <si>
    <t>Salary</t>
  </si>
  <si>
    <r>
      <t xml:space="preserve">APPREN
</t>
    </r>
    <r>
      <rPr>
        <sz val="11"/>
        <color theme="1"/>
        <rFont val="Arial"/>
        <family val="2"/>
      </rPr>
      <t>(See separate scale for details)</t>
    </r>
  </si>
  <si>
    <t>TS Trainee</t>
  </si>
  <si>
    <t>APM1</t>
  </si>
  <si>
    <t>TS1</t>
  </si>
  <si>
    <t>OF1</t>
  </si>
  <si>
    <t>Level 1 Standard Max</t>
  </si>
  <si>
    <t>OF2</t>
  </si>
  <si>
    <t>TS2</t>
  </si>
  <si>
    <t>APM2</t>
  </si>
  <si>
    <t>Level 2 Standard Max</t>
  </si>
  <si>
    <t>APM3</t>
  </si>
  <si>
    <t>TS3</t>
  </si>
  <si>
    <t>OF3</t>
  </si>
  <si>
    <t>Level 3 Standard Max</t>
  </si>
  <si>
    <t>Apprenticeship Scale</t>
  </si>
  <si>
    <t>These spinal scales are applicable to staff on the Apprenticeship pay grade only.</t>
  </si>
  <si>
    <t>The Trainee Technician pay grade is shown on the Level 1-3 Scale.</t>
  </si>
  <si>
    <t>Levels of apprenticeship</t>
  </si>
  <si>
    <t>Apprenticeships have different levels and are split into pay grades to match.</t>
  </si>
  <si>
    <t>For more information see the Gov.uk website.</t>
  </si>
  <si>
    <t>Pay grade</t>
  </si>
  <si>
    <t>Study Level</t>
  </si>
  <si>
    <t>Group</t>
  </si>
  <si>
    <t>Equivalent educational level</t>
  </si>
  <si>
    <t>APPREN-2</t>
  </si>
  <si>
    <t>Intermediate</t>
  </si>
  <si>
    <t>GCSE</t>
  </si>
  <si>
    <t>APPREN-3</t>
  </si>
  <si>
    <t>Advanced</t>
  </si>
  <si>
    <t>A level</t>
  </si>
  <si>
    <t>APPREN-4</t>
  </si>
  <si>
    <t>Higher / Degree</t>
  </si>
  <si>
    <t>Foundation degree and above</t>
  </si>
  <si>
    <t>APPREN-5</t>
  </si>
  <si>
    <t>APPREN-6</t>
  </si>
  <si>
    <t>APPREN-7</t>
  </si>
  <si>
    <t>Salary scale</t>
  </si>
  <si>
    <t>These study levels are aligned to points on the main Level 1-3 Scale.</t>
  </si>
  <si>
    <t>Level 4-6 Spinal Salary Scale</t>
  </si>
  <si>
    <t>This spinal scale is agreed nationally by UCEA and is applicable to all non-clinical staff groups at pay levels 4-6.</t>
  </si>
  <si>
    <t>Spine point 25 is provided by UCEA but is not used in any University of Nottingham level 4-6 pay grades.</t>
  </si>
  <si>
    <t>R&amp;T 4a</t>
  </si>
  <si>
    <t>R&amp;T4 TG</t>
  </si>
  <si>
    <t>APM4 TG</t>
  </si>
  <si>
    <t>NOT IN USE</t>
  </si>
  <si>
    <t>R&amp;T 4a
Standard Max</t>
  </si>
  <si>
    <t>R&amp;T4</t>
  </si>
  <si>
    <t>APM4</t>
  </si>
  <si>
    <t>TS4</t>
  </si>
  <si>
    <t>Extended R&amp;T 5</t>
  </si>
  <si>
    <t>TS5</t>
  </si>
  <si>
    <t>APM5</t>
  </si>
  <si>
    <t>R&amp;T5</t>
  </si>
  <si>
    <t>Level 4 Standard Max</t>
  </si>
  <si>
    <t>Level 5 Standard Max</t>
  </si>
  <si>
    <t>R&amp;T6</t>
  </si>
  <si>
    <t>APM6</t>
  </si>
  <si>
    <t>TS6</t>
  </si>
  <si>
    <t>Level 6 Standard Max</t>
  </si>
  <si>
    <t>Level 7 Spinal Salary Scale</t>
  </si>
  <si>
    <t>This spinal scale is applicable to the following non-clinical staff groups.</t>
  </si>
  <si>
    <t>APM (Administrative Professional &amp; Managerial) staff</t>
  </si>
  <si>
    <t>TS (Technical Services) staff</t>
  </si>
  <si>
    <t>R&amp;T (Research &amp; Teaching) staff in post prior to 1 August 2021, who have not yet been moved to the new Level 7 R&amp;T banded scale.</t>
  </si>
  <si>
    <t>Standard Maximum</t>
  </si>
  <si>
    <t>R&amp;T (Research &amp; Teaching) staff with a post starting on or after 1 August 2021, and R&amp;T staff in post prior to 1 August 2021 who have already moved from the old Level 7 Scale.</t>
  </si>
  <si>
    <t>Band</t>
  </si>
  <si>
    <t>Band A</t>
  </si>
  <si>
    <t>Band A maximum</t>
  </si>
  <si>
    <t>Band B</t>
  </si>
  <si>
    <t>Band B maximum</t>
  </si>
  <si>
    <t>Band C</t>
  </si>
  <si>
    <t>Band C maximum</t>
  </si>
  <si>
    <t>Band D</t>
  </si>
  <si>
    <t>Band D minimum</t>
  </si>
  <si>
    <t>Clinical Academic Scales</t>
  </si>
  <si>
    <t>These spinal scales are applicable to Clinical Academic staff only.</t>
  </si>
  <si>
    <t xml:space="preserve"> They are updated following government decisions on NHS pay.</t>
  </si>
  <si>
    <t>Clinical Academic Doctor In Training</t>
  </si>
  <si>
    <t>Nodal Point</t>
  </si>
  <si>
    <t>Stage of NHS training</t>
  </si>
  <si>
    <t>FY1</t>
  </si>
  <si>
    <t>FY2</t>
  </si>
  <si>
    <t>CT1 or ST1/SpR1
CT2 or ST2/SpR2</t>
  </si>
  <si>
    <t>CT3 or ST3/SpR3
ST4 / SpR4
ST5 / SpR5</t>
  </si>
  <si>
    <t>ST6 / SpR6
ST7 / SpR7
ST8 / SpR8</t>
  </si>
  <si>
    <t>Clinical Lecturer / Medical Research Fellow</t>
  </si>
  <si>
    <t>Clinical consultant</t>
  </si>
  <si>
    <t>Threshold Point</t>
  </si>
  <si>
    <t>Salary - new contract</t>
  </si>
  <si>
    <t>Salary - old contract (GP)</t>
  </si>
  <si>
    <t>Hourly rate</t>
  </si>
  <si>
    <t>Level 1</t>
  </si>
  <si>
    <t>Level 2</t>
  </si>
  <si>
    <t>Hourly rate is based on a full-time working week of 36.25 hours.</t>
  </si>
  <si>
    <t>* NLW</t>
  </si>
  <si>
    <t>Student Ambassador</t>
  </si>
  <si>
    <t>Level 3</t>
  </si>
  <si>
    <t>Casual worker scale (non-clinical job families, level 4-6)</t>
  </si>
  <si>
    <t>For workers engaged in the APM, R&amp;T, and TS job families.</t>
  </si>
  <si>
    <t>Spine point 25 is provided by UCEA but is not used in this scale.</t>
  </si>
  <si>
    <t>Level 4
Extended and
Training Grade</t>
  </si>
  <si>
    <t>Level 4</t>
  </si>
  <si>
    <t>Level 5
Extended</t>
  </si>
  <si>
    <t>Level 5</t>
  </si>
  <si>
    <t>Level 6</t>
  </si>
  <si>
    <t>IELTS Examiner</t>
  </si>
  <si>
    <t>Casual worker scale (non-clinical, non-academic job families, level 7)</t>
  </si>
  <si>
    <t>For workers engaged in the APM and TS job families.</t>
  </si>
  <si>
    <t>Casual worker scale (non-clinical, academic job families, level 7)</t>
  </si>
  <si>
    <t>For workers engaged in the R&amp;T job family.</t>
  </si>
  <si>
    <t>Casual worker scale (Doctor in Training)</t>
  </si>
  <si>
    <t>For workers engaged as a Doctor in Training only.</t>
  </si>
  <si>
    <t>Hourly rate is based on a full-time working week of 38.5 hours.</t>
  </si>
  <si>
    <t>Casual worker scale (Clinical Lecturer / Medical Research Fellow)</t>
  </si>
  <si>
    <t>For workers engaged as a Clinical Lecturer / Medical Research Fellow only.</t>
  </si>
  <si>
    <t>Casual worker scale (Clinical Consultant)</t>
  </si>
  <si>
    <t>For workers engaged as a Clinical Consultant only.</t>
  </si>
  <si>
    <t>Hourly rate is based on a full-time working week of 40 hours.</t>
  </si>
  <si>
    <t>Hourly rate
(new contract)</t>
  </si>
  <si>
    <t>Hourly rate
(old contract - GP)</t>
  </si>
  <si>
    <t>Standard rates</t>
  </si>
  <si>
    <t>Clinical Academic - Clinical Academic Doctors in Training (CLDOCIT)</t>
  </si>
  <si>
    <t>Please enter the employee's contracted hours:</t>
  </si>
  <si>
    <r>
      <rPr>
        <b/>
        <sz val="14"/>
        <color theme="1" tint="0.14999847407452621"/>
        <rFont val="Arial"/>
        <family val="2"/>
      </rPr>
      <t>NOTES</t>
    </r>
    <r>
      <rPr>
        <sz val="11"/>
        <color theme="1" tint="0.14999847407452621"/>
        <rFont val="Arial"/>
        <family val="2"/>
      </rPr>
      <t xml:space="preserve">
CPAS is not available to new employees.
CRSP and clinical supplements (where applicable) are variable. The highest possible employer's contributions are shown.
From 1 April 2023, there are no employer's NI contributions payable for workers under 21 who earn less than £50270 (Upper Secondary Threshold).</t>
    </r>
  </si>
  <si>
    <t>Please enter the full-time working hours for the role:</t>
  </si>
  <si>
    <t>Employee FTE</t>
  </si>
  <si>
    <t>EMPLOYER'S CONTRIBUTIONS</t>
  </si>
  <si>
    <t>TOTALS</t>
  </si>
  <si>
    <t>Spine Point</t>
  </si>
  <si>
    <t>USS pension</t>
  </si>
  <si>
    <t>NHS pension</t>
  </si>
  <si>
    <t>CPAS pension</t>
  </si>
  <si>
    <t>National Insurance</t>
  </si>
  <si>
    <t>Apprenticeship Levy</t>
  </si>
  <si>
    <t>CRSP Pension</t>
  </si>
  <si>
    <t>USS</t>
  </si>
  <si>
    <t>NHS</t>
  </si>
  <si>
    <t>CPAS</t>
  </si>
  <si>
    <t>CRSP</t>
  </si>
  <si>
    <t>Not Contributing to a Pension</t>
  </si>
  <si>
    <t>Please enter the employee's agreed annual salary (including any consolidated allowances):</t>
  </si>
  <si>
    <t>Grade group</t>
  </si>
  <si>
    <t>Spine points</t>
  </si>
  <si>
    <t>Pension schemes</t>
  </si>
  <si>
    <t>Manual entry</t>
  </si>
  <si>
    <t>Calculated column</t>
  </si>
  <si>
    <t>Calculated columns</t>
  </si>
  <si>
    <t>Enter a description here to be displayed in the drop-down menu on the Rates tab</t>
  </si>
  <si>
    <t>Enter a number to sort the Grade groups (if A-Z sorting is insufficient)</t>
  </si>
  <si>
    <t>Enter the appropriate column from the Point Lookup tab</t>
  </si>
  <si>
    <t>Enter text here if needed to populate the notes box on the Rates tab (G2:L2)</t>
  </si>
  <si>
    <t>Used in column AH of the Points Lookup tab</t>
  </si>
  <si>
    <t>Enter each spine point for the grade group, starting with the lowest spine point in column 1.</t>
  </si>
  <si>
    <t>Enter the appropriate minimum, standard maxiumum and super maximum spine point for the grade group. Leave blank if not applicable.</t>
  </si>
  <si>
    <t>Select from the drop-down list: 
top-up payments apply if the group includes spine points 3-7
AVA applies to Vets</t>
  </si>
  <si>
    <t>Enter the spinal column for the grade</t>
  </si>
  <si>
    <t>Enter all applicable pension schemes for the grade group, starting from Pension Scheme 1. The order is not important.</t>
  </si>
  <si>
    <t>Each column populates with 1 if the pension scheme applies to the grade group, or 0 if not.</t>
  </si>
  <si>
    <r>
      <t xml:space="preserve">Column populates with the following:
* </t>
    </r>
    <r>
      <rPr>
        <b/>
        <sz val="11"/>
        <color theme="1"/>
        <rFont val="Arial"/>
        <family val="2"/>
      </rPr>
      <t>N/A</t>
    </r>
    <r>
      <rPr>
        <sz val="11"/>
        <color theme="1"/>
        <rFont val="Arial"/>
        <family val="2"/>
      </rPr>
      <t xml:space="preserve"> If USS is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a valid pension scheme.
*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if USS is a valid pension scheme, the grade is on the 1-57 point scale, and any point on the grade is less than the USS threshold point.
*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if USS is a valid pension scheme, but the grade is not on the 1-57 point scale or no point on the grade is less than the USS threshold point.
</t>
    </r>
  </si>
  <si>
    <r>
      <t xml:space="preserve">Column populates with the following:
* </t>
    </r>
    <r>
      <rPr>
        <b/>
        <sz val="11"/>
        <color theme="1"/>
        <rFont val="Arial"/>
        <family val="2"/>
      </rPr>
      <t>N/A</t>
    </r>
    <r>
      <rPr>
        <sz val="11"/>
        <color theme="1"/>
        <rFont val="Arial"/>
        <family val="2"/>
      </rPr>
      <t xml:space="preserve"> If CPAS or CRSP is </t>
    </r>
    <r>
      <rPr>
        <b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a valid pension scheme.
*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 xml:space="preserve"> if CPAS or CRSP is a valid pension scheme, the grade is on the 1-57 point scale, and any point on the grade is greater than the CPAS/CRSP threshold point.
*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if CPAS or CRSP is a valid pension scheme, but the grade is not on the 1-57 point scale or no point on the grade is greater than the CPAS/CRSP threshold point.
</t>
    </r>
  </si>
  <si>
    <t>Sort order</t>
  </si>
  <si>
    <r>
      <t xml:space="preserve">Points lookup
</t>
    </r>
    <r>
      <rPr>
        <b/>
        <sz val="11"/>
        <color theme="4"/>
        <rFont val="Arial"/>
        <family val="2"/>
      </rPr>
      <t>Spine point</t>
    </r>
    <r>
      <rPr>
        <b/>
        <sz val="11"/>
        <color theme="1"/>
        <rFont val="Arial"/>
        <family val="2"/>
      </rPr>
      <t xml:space="preserve"> range</t>
    </r>
  </si>
  <si>
    <r>
      <t xml:space="preserve">Points lookup
</t>
    </r>
    <r>
      <rPr>
        <b/>
        <sz val="11"/>
        <color theme="4"/>
        <rFont val="Arial"/>
        <family val="2"/>
      </rPr>
      <t>Salary</t>
    </r>
    <r>
      <rPr>
        <b/>
        <sz val="11"/>
        <color theme="1"/>
        <rFont val="Arial"/>
        <family val="2"/>
      </rPr>
      <t xml:space="preserve"> range</t>
    </r>
  </si>
  <si>
    <t>Rates tab notes</t>
  </si>
  <si>
    <t>No of Points</t>
  </si>
  <si>
    <t>Minimum</t>
  </si>
  <si>
    <t>Standard Max</t>
  </si>
  <si>
    <t>Super Max</t>
  </si>
  <si>
    <t>Additional payments applicable?</t>
  </si>
  <si>
    <t>Spinal column</t>
  </si>
  <si>
    <t>Pension Scheme 1</t>
  </si>
  <si>
    <t>Pension Scheme 2</t>
  </si>
  <si>
    <t>Pension Scheme 3</t>
  </si>
  <si>
    <t>Pension Scheme 4</t>
  </si>
  <si>
    <t>USS threshold spine point (D rate) applies?</t>
  </si>
  <si>
    <t>CPAS / CRSP threshold spine point (A rate) applies?</t>
  </si>
  <si>
    <t>Select Grade From Drop-Down</t>
  </si>
  <si>
    <t>Levels 1-3</t>
  </si>
  <si>
    <t>A</t>
  </si>
  <si>
    <t>B</t>
  </si>
  <si>
    <t>Level 1-6 (3-57 point)</t>
  </si>
  <si>
    <t>Levels 4-6</t>
  </si>
  <si>
    <t>D</t>
  </si>
  <si>
    <t>E</t>
  </si>
  <si>
    <t>APM Level 1</t>
  </si>
  <si>
    <t>APM Level 2</t>
  </si>
  <si>
    <t>APM Level 3</t>
  </si>
  <si>
    <t>APM Level 4</t>
  </si>
  <si>
    <t>APM Level 4 Training Grade</t>
  </si>
  <si>
    <t>APM Level 5</t>
  </si>
  <si>
    <t>APM Level 6</t>
  </si>
  <si>
    <t>APM Level 7</t>
  </si>
  <si>
    <t>G</t>
  </si>
  <si>
    <t>H</t>
  </si>
  <si>
    <t>Level 7</t>
  </si>
  <si>
    <t>Apprenticeship study level 2</t>
  </si>
  <si>
    <t>Apprenticeship study level 3</t>
  </si>
  <si>
    <t>Apprenticeship study level 4</t>
  </si>
  <si>
    <t>Apprenticeship study level 5</t>
  </si>
  <si>
    <t>Apprenticeship study level 6</t>
  </si>
  <si>
    <t>Apprenticeship study level 7</t>
  </si>
  <si>
    <t>Child Care Services Level 1</t>
  </si>
  <si>
    <t>Child Care Services Level 2</t>
  </si>
  <si>
    <t>M</t>
  </si>
  <si>
    <t>N</t>
  </si>
  <si>
    <t>Clinical</t>
  </si>
  <si>
    <t>Clinical Academic - Clinical Consultant Old Contract (GP)</t>
  </si>
  <si>
    <t>P</t>
  </si>
  <si>
    <t>Q</t>
  </si>
  <si>
    <t>Clinical Academic - Clinical Lecturer / Medical Research Fellow</t>
  </si>
  <si>
    <t>Clinical Academic - New Consultant contract</t>
  </si>
  <si>
    <t>S</t>
  </si>
  <si>
    <t>T</t>
  </si>
  <si>
    <t>O&amp;F Level 1</t>
  </si>
  <si>
    <t>O&amp;F Level 2</t>
  </si>
  <si>
    <t>O&amp;F Level 3</t>
  </si>
  <si>
    <t>R&amp;T Level 4</t>
  </si>
  <si>
    <t>R&amp;T Level 4 Res Career Training Grade</t>
  </si>
  <si>
    <t>R&amp;T Level 4a</t>
  </si>
  <si>
    <t>R&amp;T Level 5</t>
  </si>
  <si>
    <t>R&amp;T Level 5 - Clinical Lecturers (Vet School)</t>
  </si>
  <si>
    <t>V</t>
  </si>
  <si>
    <t>Y</t>
  </si>
  <si>
    <t>AVA</t>
  </si>
  <si>
    <t>R&amp;T Level 5 Extended</t>
  </si>
  <si>
    <t>R&amp;T Level 6</t>
  </si>
  <si>
    <t>R&amp;T Level 6 - Clinical Associate Professors and Clinical Readers (Vet School)</t>
  </si>
  <si>
    <t>AC</t>
  </si>
  <si>
    <t>AF</t>
  </si>
  <si>
    <t>R&amp;T Level 7 (pre-2021)</t>
  </si>
  <si>
    <t>R&amp;T Level 7 all bands</t>
  </si>
  <si>
    <t>J</t>
  </si>
  <si>
    <t>K</t>
  </si>
  <si>
    <t>R&amp;T Level 7 Band A</t>
  </si>
  <si>
    <t>R&amp;T Level 7 Band B</t>
  </si>
  <si>
    <t>R&amp;T Level 7 Band C</t>
  </si>
  <si>
    <t>R&amp;T Level 7 Band D</t>
  </si>
  <si>
    <t>Technical Services Level 1</t>
  </si>
  <si>
    <t>Technical Services Level 2</t>
  </si>
  <si>
    <t>Technical Services Level 3</t>
  </si>
  <si>
    <t>Technical Services Level 4</t>
  </si>
  <si>
    <t>Technical Services Level 5</t>
  </si>
  <si>
    <t>Technical Services Level 6</t>
  </si>
  <si>
    <t>Technical Services Level 7</t>
  </si>
  <si>
    <t>Technical Services Trainee</t>
  </si>
  <si>
    <t>Prior to 1 Aug 2023, spine points used UCEA values. From 1 Aug 2023, local agreement means values do not match UCEA values.</t>
  </si>
  <si>
    <t>UCEA values</t>
  </si>
  <si>
    <t xml:space="preserve"> </t>
  </si>
  <si>
    <r>
      <t>Points 1-11 = CLLECT ("</t>
    </r>
    <r>
      <rPr>
        <b/>
        <sz val="14"/>
        <color theme="1"/>
        <rFont val="Calibri"/>
        <family val="2"/>
      </rPr>
      <t>pre</t>
    </r>
    <r>
      <rPr>
        <sz val="14"/>
        <color theme="1"/>
        <rFont val="Calibri"/>
        <family val="2"/>
      </rPr>
      <t xml:space="preserve">-2009 Clinical Lecturer scale")
</t>
    </r>
    <r>
      <rPr>
        <b/>
        <sz val="14"/>
        <color theme="4"/>
        <rFont val="Calibri"/>
        <family val="2"/>
      </rPr>
      <t>Points 19-23 = CLCONS OLD ("staff holding honorary consultant contract (pre-2003 contract)")</t>
    </r>
  </si>
  <si>
    <t>"2003 consultant contract"</t>
  </si>
  <si>
    <t>Select on right: does R&amp;T L5 vet rate rely on pre- pay award or post- pay award values?</t>
  </si>
  <si>
    <t>Post- pay award</t>
  </si>
  <si>
    <t>Select on right: does R&amp;T L6 vet rate rely on pre- pay award or post- pay award values?</t>
  </si>
  <si>
    <t>Level 1-3 spine points</t>
  </si>
  <si>
    <t>Level 4-6 spine points</t>
  </si>
  <si>
    <t>Level 7 Spine Points</t>
  </si>
  <si>
    <t>Level 7 R&amp;T Banded Spine Points</t>
  </si>
  <si>
    <t>CLDOCIT</t>
  </si>
  <si>
    <t>CLLECT / CLCONS OLD</t>
  </si>
  <si>
    <t>CLCONS - NEW</t>
  </si>
  <si>
    <t>AVA%</t>
  </si>
  <si>
    <t>Salary + AVA</t>
  </si>
  <si>
    <t>Clinical Supplement %</t>
  </si>
  <si>
    <t>Clinical Supplement  Amount</t>
  </si>
  <si>
    <t>Match</t>
  </si>
  <si>
    <t>-</t>
  </si>
  <si>
    <t>UCEA Pt 1 removed from scale 01/04/2017</t>
  </si>
  <si>
    <t>UCEA Pt 2 removed from scale 01/08/2019</t>
  </si>
  <si>
    <t>Points 3-9 not in use at UoN from 1 Aug 2022</t>
  </si>
  <si>
    <t>NI THRESHOLDS &amp; RATES</t>
  </si>
  <si>
    <t>* Update the values of these cells to reflect the current NI Thresholds &amp; Rates</t>
  </si>
  <si>
    <t>Secondary Threshold (ST)</t>
  </si>
  <si>
    <t>Class 1 National Insurance monthly figure</t>
  </si>
  <si>
    <t>LEL to ST</t>
  </si>
  <si>
    <t>Employer (secondary) contribution rates: "earnings at or above lower earnings limit up to and including secondary threshold"</t>
  </si>
  <si>
    <t>ST to UAP</t>
  </si>
  <si>
    <t>Employer (secondary) contribution rates: "earnings above secondary threshold up to and including upper earnings limit"</t>
  </si>
  <si>
    <t>Above UEL</t>
  </si>
  <si>
    <t>Employer (secondary) contribution rates: "balance of earnings above upper earnings limit"</t>
  </si>
  <si>
    <t>Spine points (for pensions &amp; grade maximums)</t>
  </si>
  <si>
    <t>ERS Rates</t>
  </si>
  <si>
    <t>Additional payments</t>
  </si>
  <si>
    <t>D Rate from / USS Start</t>
  </si>
  <si>
    <t>A rate stops</t>
  </si>
  <si>
    <t>National Minimum Wage (over 23s)</t>
  </si>
  <si>
    <t>CS Spine points Level 1-2</t>
  </si>
  <si>
    <t>Child Care Services Level 1-2 Spinal Salary Scale</t>
  </si>
  <si>
    <t>CS Level 1</t>
  </si>
  <si>
    <t>CS Level 2</t>
  </si>
  <si>
    <t>This spinal scale is applicable to all Child care services staff groups at pay levels 1-2.</t>
  </si>
  <si>
    <t>AJ</t>
  </si>
  <si>
    <t>AK</t>
  </si>
  <si>
    <t>For workers engaged in the APM, CCS, O&amp;F, and TS job families.</t>
  </si>
  <si>
    <t>Senior Student Ambassador / Assistant/ Room Invigilator</t>
  </si>
  <si>
    <t>Chief Invigilator</t>
  </si>
  <si>
    <t>Demonstrator / Senior Invigilator</t>
  </si>
  <si>
    <t>Other</t>
  </si>
  <si>
    <t>For workers engaged in the CCS job family.</t>
  </si>
  <si>
    <t>Hourly rate is based on a full-time working week of 39 hours.</t>
  </si>
  <si>
    <t>Casual worker scale (Child Care Services, level 1-2)</t>
  </si>
  <si>
    <t>Hourly rate is based on a full-time working week of  36.25 hours.</t>
  </si>
  <si>
    <t>Casual worker scale (other job families, levels 1-3)</t>
  </si>
  <si>
    <t>Child Care Services Scale</t>
  </si>
  <si>
    <t>UoN Spine Point</t>
  </si>
  <si>
    <t>NHS Threshold Point</t>
  </si>
  <si>
    <t>2a</t>
  </si>
  <si>
    <t>2b</t>
  </si>
  <si>
    <t>Clinical consultants</t>
  </si>
  <si>
    <t>NHS Incremental Points</t>
  </si>
  <si>
    <t>1st</t>
  </si>
  <si>
    <t>2nd</t>
  </si>
  <si>
    <t>3rd</t>
  </si>
  <si>
    <t>4th</t>
  </si>
  <si>
    <t>O&amp;F Shift Extended Hours = £4,460.30
O&amp;F Shift 24/7 = £5,947.20
-where applicable-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</si>
</sst>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;;;"/>
    <numFmt numFmtId="165" formatCode="0.0%"/>
    <numFmt numFmtId="166" formatCode="&quot;£&quot;#,##0"/>
    <numFmt numFmtId="167" formatCode="0_ ;\-0\ "/>
    <numFmt numFmtId="168" formatCode="0_ ;[Red]\-0\ "/>
    <numFmt numFmtId="169" formatCode="d\ mmmm\ yyyy"/>
    <numFmt numFmtId="170" formatCode="0;\-0;\-"/>
    <numFmt numFmtId="171" formatCode="0.00000"/>
  </numFmts>
  <fonts count="62" x14ac:knownFonts="1">
    <font>
      <sz val="11"/>
      <color theme="1"/>
      <name val="Calibri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b/>
      <sz val="14"/>
      <color theme="1" tint="0.1499984740745262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1"/>
      <color theme="1" tint="0.14999847407452621"/>
      <name val="Arial"/>
      <family val="2"/>
    </font>
    <font>
      <sz val="11"/>
      <color rgb="FFC00000"/>
      <name val="Arial"/>
      <family val="2"/>
    </font>
    <font>
      <sz val="24"/>
      <color rgb="FFC00000"/>
      <name val="Arial"/>
      <family val="2"/>
    </font>
    <font>
      <sz val="9"/>
      <color rgb="FFC00000"/>
      <name val="Verdana"/>
      <family val="2"/>
    </font>
    <font>
      <b/>
      <sz val="10.5"/>
      <name val="Arial"/>
      <family val="2"/>
    </font>
    <font>
      <sz val="11"/>
      <color indexed="8"/>
      <name val="Arial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</font>
    <font>
      <b/>
      <sz val="11"/>
      <color theme="4"/>
      <name val="Arial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1"/>
      <color rgb="FFFF0000"/>
      <name val="Arial"/>
      <family val="2"/>
    </font>
    <font>
      <sz val="8"/>
      <name val="Calibri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4"/>
      <color theme="1"/>
      <name val="Arial"/>
      <family val="2"/>
    </font>
    <font>
      <b/>
      <sz val="24"/>
      <color rgb="FFFF0000"/>
      <name val="Arial"/>
      <family val="2"/>
    </font>
    <font>
      <b/>
      <sz val="28"/>
      <color theme="1"/>
      <name val="Arial"/>
      <family val="2"/>
    </font>
    <font>
      <b/>
      <sz val="28"/>
      <color rgb="FFFF0000"/>
      <name val="Arial"/>
      <family val="2"/>
    </font>
    <font>
      <b/>
      <sz val="28"/>
      <name val="Arial"/>
      <family val="2"/>
    </font>
    <font>
      <b/>
      <u/>
      <sz val="11"/>
      <color theme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0" fontId="13" fillId="0" borderId="0"/>
    <xf numFmtId="0" fontId="6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1" fillId="0" borderId="0" applyNumberFormat="0" applyFill="0" applyBorder="0" applyAlignment="0" applyProtection="0"/>
  </cellStyleXfs>
  <cellXfs count="468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9" fontId="9" fillId="0" borderId="1" xfId="0" applyNumberFormat="1" applyFont="1" applyBorder="1" applyAlignment="1" applyProtection="1">
      <alignment horizontal="center" vertical="center"/>
      <protection hidden="1"/>
    </xf>
    <xf numFmtId="0" fontId="11" fillId="3" borderId="0" xfId="0" applyFont="1" applyFill="1"/>
    <xf numFmtId="0" fontId="0" fillId="0" borderId="0" xfId="0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 wrapText="1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165" fontId="0" fillId="2" borderId="16" xfId="5" applyNumberFormat="1" applyFont="1" applyFill="1" applyBorder="1" applyAlignment="1" applyProtection="1">
      <alignment horizontal="center" vertical="center"/>
      <protection hidden="1"/>
    </xf>
    <xf numFmtId="1" fontId="12" fillId="0" borderId="1" xfId="0" applyNumberFormat="1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/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7" borderId="1" xfId="0" applyFont="1" applyFill="1" applyBorder="1" applyAlignment="1" applyProtection="1">
      <alignment horizontal="center" vertical="center"/>
      <protection hidden="1"/>
    </xf>
    <xf numFmtId="0" fontId="20" fillId="7" borderId="10" xfId="0" applyFont="1" applyFill="1" applyBorder="1" applyAlignment="1" applyProtection="1">
      <alignment horizontal="center" vertical="center"/>
      <protection hidden="1"/>
    </xf>
    <xf numFmtId="0" fontId="20" fillId="7" borderId="15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wrapText="1"/>
    </xf>
    <xf numFmtId="0" fontId="15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center"/>
    </xf>
    <xf numFmtId="0" fontId="18" fillId="0" borderId="0" xfId="0" applyFont="1" applyAlignment="1" applyProtection="1">
      <alignment horizontal="center" vertical="center" textRotation="180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6" fillId="4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24" fillId="5" borderId="1" xfId="0" applyFont="1" applyFill="1" applyBorder="1" applyAlignment="1" applyProtection="1">
      <alignment horizontal="center" vertical="center" wrapText="1"/>
      <protection hidden="1"/>
    </xf>
    <xf numFmtId="1" fontId="22" fillId="0" borderId="0" xfId="0" applyNumberFormat="1" applyFont="1" applyAlignment="1" applyProtection="1">
      <alignment horizontal="center" vertical="center"/>
      <protection hidden="1"/>
    </xf>
    <xf numFmtId="9" fontId="22" fillId="0" borderId="0" xfId="0" applyNumberFormat="1" applyFont="1" applyAlignment="1" applyProtection="1">
      <alignment horizontal="center" vertical="center" wrapText="1"/>
      <protection hidden="1"/>
    </xf>
    <xf numFmtId="1" fontId="22" fillId="0" borderId="0" xfId="0" applyNumberFormat="1" applyFont="1" applyAlignment="1" applyProtection="1">
      <alignment horizontal="center" vertical="center" wrapText="1"/>
      <protection hidden="1"/>
    </xf>
    <xf numFmtId="0" fontId="38" fillId="2" borderId="1" xfId="0" applyFont="1" applyFill="1" applyBorder="1" applyAlignment="1" applyProtection="1">
      <alignment horizontal="center" vertical="center"/>
      <protection hidden="1"/>
    </xf>
    <xf numFmtId="0" fontId="20" fillId="9" borderId="1" xfId="0" applyFont="1" applyFill="1" applyBorder="1" applyAlignment="1" applyProtection="1">
      <alignment horizontal="center" vertical="center" wrapText="1"/>
      <protection hidden="1"/>
    </xf>
    <xf numFmtId="166" fontId="20" fillId="9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" fontId="12" fillId="4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 applyProtection="1">
      <alignment horizontal="center" vertical="center"/>
      <protection hidden="1"/>
    </xf>
    <xf numFmtId="168" fontId="41" fillId="0" borderId="1" xfId="0" applyNumberFormat="1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42" fillId="4" borderId="0" xfId="0" applyFont="1" applyFill="1" applyAlignment="1">
      <alignment vertical="center" wrapText="1"/>
    </xf>
    <xf numFmtId="0" fontId="15" fillId="4" borderId="0" xfId="0" applyFont="1" applyFill="1"/>
    <xf numFmtId="0" fontId="23" fillId="0" borderId="0" xfId="0" applyFont="1" applyAlignment="1" applyProtection="1">
      <alignment vertical="center"/>
      <protection hidden="1"/>
    </xf>
    <xf numFmtId="0" fontId="38" fillId="2" borderId="1" xfId="0" applyFont="1" applyFill="1" applyBorder="1" applyAlignment="1">
      <alignment vertical="center"/>
    </xf>
    <xf numFmtId="0" fontId="0" fillId="0" borderId="0" xfId="0" applyAlignment="1" applyProtection="1">
      <alignment wrapText="1"/>
      <protection hidden="1"/>
    </xf>
    <xf numFmtId="0" fontId="18" fillId="7" borderId="1" xfId="0" applyFont="1" applyFill="1" applyBorder="1" applyAlignment="1">
      <alignment horizontal="left" vertical="center" wrapText="1"/>
    </xf>
    <xf numFmtId="0" fontId="18" fillId="16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17" borderId="1" xfId="0" applyFont="1" applyFill="1" applyBorder="1" applyAlignment="1" applyProtection="1">
      <alignment horizontal="center" vertical="center" wrapText="1"/>
      <protection hidden="1"/>
    </xf>
    <xf numFmtId="0" fontId="18" fillId="13" borderId="1" xfId="0" applyFont="1" applyFill="1" applyBorder="1" applyAlignment="1" applyProtection="1">
      <alignment horizontal="center" vertical="center"/>
      <protection hidden="1"/>
    </xf>
    <xf numFmtId="0" fontId="18" fillId="13" borderId="1" xfId="0" applyFont="1" applyFill="1" applyBorder="1" applyAlignment="1" applyProtection="1">
      <alignment horizontal="center" vertical="center" wrapText="1"/>
      <protection hidden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/>
    </xf>
    <xf numFmtId="0" fontId="39" fillId="0" borderId="14" xfId="1" applyFont="1" applyBorder="1" applyAlignment="1" applyProtection="1">
      <alignment horizontal="left" vertical="top"/>
      <protection hidden="1"/>
    </xf>
    <xf numFmtId="0" fontId="39" fillId="0" borderId="14" xfId="3" applyFont="1" applyBorder="1" applyAlignment="1" applyProtection="1">
      <alignment horizontal="left" vertical="center"/>
      <protection hidden="1"/>
    </xf>
    <xf numFmtId="0" fontId="43" fillId="13" borderId="1" xfId="1" applyFont="1" applyFill="1" applyBorder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vertical="center"/>
      <protection hidden="1"/>
    </xf>
    <xf numFmtId="0" fontId="43" fillId="11" borderId="1" xfId="1" applyFont="1" applyFill="1" applyBorder="1" applyAlignment="1" applyProtection="1">
      <alignment horizontal="center" vertical="center" wrapText="1"/>
      <protection hidden="1"/>
    </xf>
    <xf numFmtId="0" fontId="43" fillId="2" borderId="1" xfId="1" applyFont="1" applyFill="1" applyBorder="1" applyAlignment="1" applyProtection="1">
      <alignment horizontal="left" vertical="center" wrapText="1"/>
      <protection hidden="1"/>
    </xf>
    <xf numFmtId="0" fontId="43" fillId="18" borderId="1" xfId="1" applyFont="1" applyFill="1" applyBorder="1" applyAlignment="1" applyProtection="1">
      <alignment vertical="center" wrapText="1"/>
      <protection hidden="1"/>
    </xf>
    <xf numFmtId="0" fontId="18" fillId="10" borderId="1" xfId="0" applyFont="1" applyFill="1" applyBorder="1" applyAlignment="1" applyProtection="1">
      <alignment horizontal="center" vertical="center"/>
      <protection hidden="1"/>
    </xf>
    <xf numFmtId="0" fontId="39" fillId="17" borderId="14" xfId="1" applyFont="1" applyFill="1" applyBorder="1" applyAlignment="1" applyProtection="1">
      <alignment horizontal="center" vertical="top"/>
      <protection hidden="1"/>
    </xf>
    <xf numFmtId="0" fontId="39" fillId="17" borderId="15" xfId="1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2" borderId="1" xfId="0" applyFont="1" applyFill="1" applyBorder="1" applyAlignment="1" applyProtection="1">
      <alignment vertical="center"/>
      <protection hidden="1"/>
    </xf>
    <xf numFmtId="0" fontId="18" fillId="2" borderId="1" xfId="0" applyFont="1" applyFill="1" applyBorder="1" applyAlignment="1" applyProtection="1">
      <alignment vertical="center" wrapText="1"/>
      <protection hidden="1"/>
    </xf>
    <xf numFmtId="0" fontId="24" fillId="19" borderId="4" xfId="0" applyFont="1" applyFill="1" applyBorder="1" applyProtection="1">
      <protection hidden="1"/>
    </xf>
    <xf numFmtId="0" fontId="24" fillId="19" borderId="0" xfId="0" applyFont="1" applyFill="1" applyProtection="1">
      <protection hidden="1"/>
    </xf>
    <xf numFmtId="0" fontId="24" fillId="19" borderId="5" xfId="0" applyFont="1" applyFill="1" applyBorder="1" applyProtection="1">
      <protection hidden="1"/>
    </xf>
    <xf numFmtId="0" fontId="24" fillId="14" borderId="0" xfId="0" applyFont="1" applyFill="1" applyProtection="1">
      <protection hidden="1"/>
    </xf>
    <xf numFmtId="0" fontId="24" fillId="14" borderId="4" xfId="0" applyFont="1" applyFill="1" applyBorder="1" applyProtection="1">
      <protection hidden="1"/>
    </xf>
    <xf numFmtId="0" fontId="0" fillId="7" borderId="1" xfId="0" applyFill="1" applyBorder="1"/>
    <xf numFmtId="0" fontId="0" fillId="7" borderId="16" xfId="0" applyFill="1" applyBorder="1" applyAlignment="1" applyProtection="1">
      <alignment horizontal="center" vertical="center"/>
      <protection hidden="1"/>
    </xf>
    <xf numFmtId="0" fontId="13" fillId="7" borderId="16" xfId="0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hidden="1"/>
    </xf>
    <xf numFmtId="0" fontId="13" fillId="0" borderId="1" xfId="0" applyFont="1" applyBorder="1"/>
    <xf numFmtId="0" fontId="18" fillId="10" borderId="1" xfId="0" applyFont="1" applyFill="1" applyBorder="1" applyAlignment="1" applyProtection="1">
      <alignment vertical="center" wrapText="1"/>
      <protection hidden="1"/>
    </xf>
    <xf numFmtId="0" fontId="44" fillId="7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33" fillId="0" borderId="0" xfId="0" applyFont="1" applyAlignment="1" applyProtection="1">
      <alignment horizontal="center" vertical="center"/>
      <protection hidden="1"/>
    </xf>
    <xf numFmtId="164" fontId="25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9" fontId="33" fillId="0" borderId="0" xfId="0" applyNumberFormat="1" applyFont="1" applyAlignment="1" applyProtection="1">
      <alignment horizontal="center" vertical="center" wrapText="1"/>
      <protection hidden="1"/>
    </xf>
    <xf numFmtId="1" fontId="33" fillId="0" borderId="0" xfId="0" applyNumberFormat="1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39" fillId="7" borderId="14" xfId="1" applyFont="1" applyFill="1" applyBorder="1" applyAlignment="1" applyProtection="1">
      <alignment horizontal="left" vertical="center" wrapText="1"/>
      <protection hidden="1"/>
    </xf>
    <xf numFmtId="0" fontId="39" fillId="7" borderId="14" xfId="1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>
      <alignment horizontal="center" wrapText="1"/>
    </xf>
    <xf numFmtId="3" fontId="37" fillId="0" borderId="0" xfId="7" applyNumberFormat="1" applyFont="1" applyAlignment="1">
      <alignment horizontal="right" vertical="center" wrapText="1"/>
    </xf>
    <xf numFmtId="1" fontId="9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46" fillId="4" borderId="1" xfId="0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0" fontId="48" fillId="0" borderId="0" xfId="0" applyFont="1" applyAlignment="1" applyProtection="1">
      <alignment vertical="center" wrapText="1"/>
      <protection hidden="1"/>
    </xf>
    <xf numFmtId="0" fontId="21" fillId="0" borderId="0" xfId="0" applyFont="1"/>
    <xf numFmtId="0" fontId="30" fillId="0" borderId="0" xfId="0" applyFont="1" applyAlignment="1" applyProtection="1">
      <alignment vertical="center"/>
      <protection hidden="1"/>
    </xf>
    <xf numFmtId="9" fontId="33" fillId="0" borderId="0" xfId="0" applyNumberFormat="1" applyFont="1" applyAlignment="1" applyProtection="1">
      <alignment horizontal="center" vertical="center"/>
      <protection hidden="1"/>
    </xf>
    <xf numFmtId="1" fontId="9" fillId="7" borderId="1" xfId="0" applyNumberFormat="1" applyFont="1" applyFill="1" applyBorder="1" applyAlignment="1" applyProtection="1">
      <alignment horizontal="center" vertical="center"/>
      <protection hidden="1"/>
    </xf>
    <xf numFmtId="0" fontId="49" fillId="0" borderId="0" xfId="0" applyFont="1"/>
    <xf numFmtId="165" fontId="49" fillId="0" borderId="0" xfId="0" applyNumberFormat="1" applyFont="1" applyAlignment="1">
      <alignment horizontal="left" vertical="center"/>
    </xf>
    <xf numFmtId="165" fontId="46" fillId="4" borderId="1" xfId="0" applyNumberFormat="1" applyFont="1" applyFill="1" applyBorder="1" applyAlignment="1">
      <alignment horizontal="center" vertical="center"/>
    </xf>
    <xf numFmtId="10" fontId="46" fillId="4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18" fillId="15" borderId="1" xfId="0" applyFont="1" applyFill="1" applyBorder="1" applyAlignment="1" applyProtection="1">
      <alignment vertical="center" wrapText="1"/>
      <protection hidden="1"/>
    </xf>
    <xf numFmtId="3" fontId="25" fillId="4" borderId="1" xfId="0" applyNumberFormat="1" applyFont="1" applyFill="1" applyBorder="1" applyAlignment="1">
      <alignment horizontal="center"/>
    </xf>
    <xf numFmtId="0" fontId="39" fillId="0" borderId="15" xfId="1" applyFont="1" applyBorder="1" applyAlignment="1" applyProtection="1">
      <alignment horizontal="left" vertical="top"/>
      <protection hidden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51" fillId="0" borderId="0" xfId="0" applyFont="1" applyAlignment="1" applyProtection="1">
      <alignment vertical="center" wrapText="1"/>
      <protection hidden="1"/>
    </xf>
    <xf numFmtId="0" fontId="20" fillId="0" borderId="1" xfId="0" applyFont="1" applyBorder="1" applyAlignment="1">
      <alignment horizontal="center" vertical="center"/>
    </xf>
    <xf numFmtId="0" fontId="38" fillId="2" borderId="11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7" borderId="11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0" fillId="0" borderId="16" xfId="0" applyBorder="1" applyAlignment="1" applyProtection="1">
      <alignment horizontal="center" vertical="center"/>
      <protection hidden="1"/>
    </xf>
    <xf numFmtId="170" fontId="18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170" fontId="22" fillId="0" borderId="0" xfId="0" applyNumberFormat="1" applyFont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7" borderId="1" xfId="0" applyFont="1" applyFill="1" applyBorder="1" applyAlignment="1">
      <alignment vertical="center"/>
    </xf>
    <xf numFmtId="0" fontId="22" fillId="0" borderId="0" xfId="0" applyFont="1"/>
    <xf numFmtId="0" fontId="61" fillId="0" borderId="0" xfId="12"/>
    <xf numFmtId="0" fontId="20" fillId="17" borderId="11" xfId="0" applyFont="1" applyFill="1" applyBorder="1" applyAlignment="1">
      <alignment vertical="center"/>
    </xf>
    <xf numFmtId="0" fontId="24" fillId="0" borderId="0" xfId="0" applyFont="1"/>
    <xf numFmtId="0" fontId="24" fillId="6" borderId="15" xfId="0" applyFont="1" applyFill="1" applyBorder="1" applyAlignment="1" applyProtection="1">
      <alignment horizontal="center" vertical="center" wrapText="1"/>
      <protection hidden="1"/>
    </xf>
    <xf numFmtId="0" fontId="24" fillId="16" borderId="1" xfId="0" applyFont="1" applyFill="1" applyBorder="1" applyAlignment="1" applyProtection="1">
      <alignment horizontal="center" vertical="center" wrapText="1"/>
      <protection hidden="1"/>
    </xf>
    <xf numFmtId="2" fontId="53" fillId="0" borderId="1" xfId="0" applyNumberFormat="1" applyFont="1" applyBorder="1" applyAlignment="1" applyProtection="1">
      <alignment vertical="center" wrapText="1"/>
      <protection hidden="1"/>
    </xf>
    <xf numFmtId="0" fontId="54" fillId="16" borderId="15" xfId="0" applyFont="1" applyFill="1" applyBorder="1" applyAlignment="1" applyProtection="1">
      <alignment horizontal="left" vertical="center" wrapText="1"/>
      <protection hidden="1"/>
    </xf>
    <xf numFmtId="0" fontId="53" fillId="5" borderId="1" xfId="0" applyFont="1" applyFill="1" applyBorder="1" applyAlignment="1" applyProtection="1">
      <alignment vertical="center" wrapText="1"/>
      <protection locked="0"/>
    </xf>
    <xf numFmtId="0" fontId="26" fillId="8" borderId="1" xfId="0" applyFont="1" applyFill="1" applyBorder="1" applyAlignment="1" applyProtection="1">
      <alignment vertical="center" wrapText="1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34" fillId="0" borderId="8" xfId="0" applyFont="1" applyBorder="1" applyAlignment="1" applyProtection="1">
      <alignment vertical="center" wrapText="1"/>
      <protection hidden="1"/>
    </xf>
    <xf numFmtId="170" fontId="22" fillId="0" borderId="1" xfId="0" applyNumberFormat="1" applyFont="1" applyBorder="1" applyAlignment="1" applyProtection="1">
      <alignment horizontal="center" vertical="center"/>
      <protection hidden="1"/>
    </xf>
    <xf numFmtId="170" fontId="55" fillId="5" borderId="1" xfId="0" applyNumberFormat="1" applyFont="1" applyFill="1" applyBorder="1" applyAlignment="1" applyProtection="1">
      <alignment horizontal="center" vertical="center"/>
      <protection locked="0" hidden="1"/>
    </xf>
    <xf numFmtId="0" fontId="29" fillId="0" borderId="1" xfId="0" applyFont="1" applyBorder="1" applyAlignment="1">
      <alignment horizontal="center"/>
    </xf>
    <xf numFmtId="167" fontId="29" fillId="0" borderId="1" xfId="6" applyNumberFormat="1" applyFont="1" applyBorder="1" applyAlignment="1">
      <alignment horizontal="center"/>
    </xf>
    <xf numFmtId="0" fontId="56" fillId="0" borderId="0" xfId="0" applyFont="1" applyAlignment="1" applyProtection="1">
      <alignment vertical="center"/>
      <protection hidden="1"/>
    </xf>
    <xf numFmtId="0" fontId="57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16" borderId="1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59" fillId="0" borderId="0" xfId="0" applyFont="1" applyAlignment="1" applyProtection="1">
      <alignment vertical="center"/>
      <protection hidden="1"/>
    </xf>
    <xf numFmtId="0" fontId="36" fillId="0" borderId="4" xfId="0" applyFont="1" applyBorder="1" applyAlignment="1" applyProtection="1">
      <alignment vertical="center"/>
      <protection hidden="1"/>
    </xf>
    <xf numFmtId="2" fontId="18" fillId="7" borderId="1" xfId="0" applyNumberFormat="1" applyFont="1" applyFill="1" applyBorder="1" applyAlignment="1" applyProtection="1">
      <alignment horizontal="center" vertical="center" wrapText="1"/>
      <protection hidden="1"/>
    </xf>
    <xf numFmtId="2" fontId="20" fillId="7" borderId="1" xfId="0" applyNumberFormat="1" applyFont="1" applyFill="1" applyBorder="1" applyAlignment="1" applyProtection="1">
      <alignment horizontal="center" vertical="center"/>
      <protection hidden="1"/>
    </xf>
    <xf numFmtId="0" fontId="38" fillId="7" borderId="1" xfId="0" applyFont="1" applyFill="1" applyBorder="1" applyAlignment="1" applyProtection="1">
      <alignment horizontal="center" vertical="center"/>
      <protection hidden="1"/>
    </xf>
    <xf numFmtId="166" fontId="20" fillId="9" borderId="1" xfId="0" applyNumberFormat="1" applyFont="1" applyFill="1" applyBorder="1" applyAlignment="1">
      <alignment horizontal="center" vertical="center" wrapText="1"/>
    </xf>
    <xf numFmtId="0" fontId="60" fillId="0" borderId="0" xfId="0" applyFont="1" applyAlignment="1" applyProtection="1">
      <alignment vertical="center"/>
      <protection hidden="1"/>
    </xf>
    <xf numFmtId="0" fontId="18" fillId="18" borderId="1" xfId="0" applyFont="1" applyFill="1" applyBorder="1" applyAlignment="1" applyProtection="1">
      <alignment horizontal="center" vertical="center"/>
      <protection hidden="1"/>
    </xf>
    <xf numFmtId="0" fontId="18" fillId="7" borderId="10" xfId="0" applyFont="1" applyFill="1" applyBorder="1" applyAlignment="1" applyProtection="1">
      <alignment horizontal="center" vertical="center" wrapText="1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18" fillId="7" borderId="1" xfId="0" applyFont="1" applyFill="1" applyBorder="1" applyAlignment="1" applyProtection="1">
      <alignment horizontal="center" vertical="center"/>
      <protection hidden="1"/>
    </xf>
    <xf numFmtId="0" fontId="61" fillId="5" borderId="1" xfId="12" applyFill="1" applyBorder="1" applyAlignment="1">
      <alignment horizontal="left" vertical="center" wrapText="1"/>
    </xf>
    <xf numFmtId="0" fontId="61" fillId="5" borderId="1" xfId="12" applyFill="1" applyBorder="1" applyAlignment="1">
      <alignment horizontal="left" vertical="center"/>
    </xf>
    <xf numFmtId="0" fontId="24" fillId="0" borderId="0" xfId="0" applyFont="1" applyAlignment="1" applyProtection="1">
      <alignment vertical="center" wrapText="1"/>
      <protection hidden="1"/>
    </xf>
    <xf numFmtId="0" fontId="24" fillId="4" borderId="0" xfId="0" applyFont="1" applyFill="1" applyAlignment="1" applyProtection="1">
      <alignment vertical="center" wrapText="1"/>
      <protection hidden="1"/>
    </xf>
    <xf numFmtId="0" fontId="18" fillId="4" borderId="4" xfId="0" applyFont="1" applyFill="1" applyBorder="1" applyAlignment="1" applyProtection="1">
      <alignment vertical="center" wrapText="1"/>
      <protection hidden="1"/>
    </xf>
    <xf numFmtId="0" fontId="10" fillId="20" borderId="1" xfId="0" applyFont="1" applyFill="1" applyBorder="1" applyAlignment="1" applyProtection="1">
      <alignment horizontal="center" vertical="center" wrapText="1"/>
      <protection hidden="1"/>
    </xf>
    <xf numFmtId="0" fontId="10" fillId="20" borderId="10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169" fontId="5" fillId="4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169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/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textRotation="180"/>
      <protection hidden="1"/>
    </xf>
    <xf numFmtId="0" fontId="5" fillId="0" borderId="0" xfId="0" quotePrefix="1" applyFont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left" wrapText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17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5" fillId="0" borderId="0" xfId="0" applyFont="1"/>
    <xf numFmtId="0" fontId="5" fillId="0" borderId="0" xfId="0" applyFont="1" applyProtection="1"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2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7" borderId="14" xfId="0" applyFont="1" applyFill="1" applyBorder="1" applyAlignment="1" applyProtection="1">
      <alignment wrapText="1"/>
      <protection hidden="1"/>
    </xf>
    <xf numFmtId="0" fontId="5" fillId="17" borderId="14" xfId="0" applyFont="1" applyFill="1" applyBorder="1" applyAlignment="1" applyProtection="1">
      <alignment wrapText="1"/>
      <protection hidden="1"/>
    </xf>
    <xf numFmtId="0" fontId="5" fillId="17" borderId="0" xfId="0" applyFont="1" applyFill="1" applyAlignment="1" applyProtection="1">
      <alignment wrapText="1"/>
      <protection hidden="1"/>
    </xf>
    <xf numFmtId="0" fontId="5" fillId="12" borderId="14" xfId="0" applyFont="1" applyFill="1" applyBorder="1" applyAlignment="1" applyProtection="1">
      <alignment wrapText="1"/>
      <protection hidden="1"/>
    </xf>
    <xf numFmtId="0" fontId="5" fillId="7" borderId="18" xfId="0" applyFont="1" applyFill="1" applyBorder="1" applyAlignment="1" applyProtection="1">
      <alignment vertical="center" wrapText="1"/>
      <protection hidden="1"/>
    </xf>
    <xf numFmtId="0" fontId="5" fillId="17" borderId="18" xfId="0" applyFont="1" applyFill="1" applyBorder="1" applyAlignment="1" applyProtection="1">
      <alignment vertical="center" wrapText="1"/>
      <protection hidden="1"/>
    </xf>
    <xf numFmtId="0" fontId="5" fillId="17" borderId="20" xfId="0" applyFont="1" applyFill="1" applyBorder="1" applyAlignment="1" applyProtection="1">
      <alignment vertical="center" wrapText="1"/>
      <protection hidden="1"/>
    </xf>
    <xf numFmtId="0" fontId="5" fillId="12" borderId="18" xfId="0" applyFont="1" applyFill="1" applyBorder="1" applyAlignment="1" applyProtection="1">
      <alignment vertical="center" wrapText="1"/>
      <protection hidden="1"/>
    </xf>
    <xf numFmtId="0" fontId="5" fillId="7" borderId="14" xfId="0" applyFont="1" applyFill="1" applyBorder="1" applyProtection="1">
      <protection hidden="1"/>
    </xf>
    <xf numFmtId="0" fontId="5" fillId="7" borderId="14" xfId="0" applyFont="1" applyFill="1" applyBorder="1" applyAlignment="1" applyProtection="1">
      <alignment horizontal="center" vertical="center"/>
      <protection hidden="1"/>
    </xf>
    <xf numFmtId="0" fontId="5" fillId="7" borderId="14" xfId="0" applyFont="1" applyFill="1" applyBorder="1" applyAlignment="1" applyProtection="1">
      <alignment horizontal="center"/>
      <protection hidden="1"/>
    </xf>
    <xf numFmtId="0" fontId="5" fillId="0" borderId="14" xfId="0" applyFont="1" applyBorder="1" applyProtection="1"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12" borderId="14" xfId="0" applyFont="1" applyFill="1" applyBorder="1" applyAlignment="1" applyProtection="1">
      <alignment horizontal="center"/>
      <protection hidden="1"/>
    </xf>
    <xf numFmtId="0" fontId="5" fillId="12" borderId="14" xfId="0" applyFont="1" applyFill="1" applyBorder="1" applyProtection="1">
      <protection hidden="1"/>
    </xf>
    <xf numFmtId="0" fontId="5" fillId="0" borderId="14" xfId="0" applyFont="1" applyBorder="1" applyAlignment="1" applyProtection="1">
      <alignment wrapText="1"/>
      <protection hidden="1"/>
    </xf>
    <xf numFmtId="0" fontId="5" fillId="0" borderId="15" xfId="0" applyFont="1" applyBorder="1" applyProtection="1"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12" borderId="15" xfId="0" applyFont="1" applyFill="1" applyBorder="1" applyAlignment="1" applyProtection="1">
      <alignment horizontal="center"/>
      <protection hidden="1"/>
    </xf>
    <xf numFmtId="0" fontId="5" fillId="12" borderId="15" xfId="0" applyFont="1" applyFill="1" applyBorder="1" applyProtection="1">
      <protection hidden="1"/>
    </xf>
    <xf numFmtId="168" fontId="5" fillId="0" borderId="1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6" applyNumberFormat="1" applyFont="1" applyBorder="1" applyAlignment="1">
      <alignment horizontal="center" wrapText="1"/>
    </xf>
    <xf numFmtId="167" fontId="5" fillId="4" borderId="1" xfId="6" applyNumberFormat="1" applyFont="1" applyFill="1" applyBorder="1" applyAlignment="1">
      <alignment horizontal="center"/>
    </xf>
    <xf numFmtId="167" fontId="5" fillId="0" borderId="1" xfId="6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Protection="1"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36" fillId="0" borderId="1" xfId="0" applyFont="1" applyBorder="1" applyAlignment="1" applyProtection="1">
      <alignment vertical="center"/>
      <protection hidden="1"/>
    </xf>
    <xf numFmtId="170" fontId="18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5" fillId="4" borderId="0" xfId="0" applyFont="1" applyFill="1" applyAlignment="1" applyProtection="1">
      <alignment vertical="center"/>
      <protection hidden="1"/>
    </xf>
    <xf numFmtId="0" fontId="39" fillId="0" borderId="14" xfId="1" applyFont="1" applyBorder="1" applyAlignment="1" applyProtection="1">
      <alignment horizontal="center" vertical="top"/>
      <protection hidden="1"/>
    </xf>
    <xf numFmtId="2" fontId="18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18" fillId="18" borderId="1" xfId="0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vertical="center" wrapText="1"/>
      <protection hidden="1"/>
    </xf>
    <xf numFmtId="0" fontId="4" fillId="7" borderId="1" xfId="0" applyFont="1" applyFill="1" applyBorder="1" applyAlignment="1">
      <alignment horizontal="left" vertical="center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7" borderId="1" xfId="0" applyFont="1" applyFill="1" applyBorder="1" applyAlignment="1" applyProtection="1">
      <alignment horizontal="center" vertical="center" wrapText="1"/>
      <protection hidden="1"/>
    </xf>
    <xf numFmtId="170" fontId="4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14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171" fontId="15" fillId="0" borderId="0" xfId="0" applyNumberFormat="1" applyFont="1" applyAlignment="1" applyProtection="1">
      <alignment vertical="center"/>
      <protection hidden="1"/>
    </xf>
    <xf numFmtId="2" fontId="4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7" xfId="0" applyFont="1" applyBorder="1" applyAlignment="1" applyProtection="1">
      <alignment vertical="center"/>
      <protection hidden="1"/>
    </xf>
    <xf numFmtId="0" fontId="36" fillId="0" borderId="2" xfId="0" applyFont="1" applyBorder="1" applyAlignment="1" applyProtection="1">
      <alignment vertical="center"/>
      <protection hidden="1"/>
    </xf>
    <xf numFmtId="0" fontId="36" fillId="0" borderId="6" xfId="0" applyFont="1" applyBorder="1" applyAlignment="1" applyProtection="1">
      <alignment vertical="center"/>
      <protection hidden="1"/>
    </xf>
    <xf numFmtId="0" fontId="36" fillId="0" borderId="8" xfId="0" applyFont="1" applyBorder="1" applyAlignment="1" applyProtection="1">
      <alignment vertical="center"/>
      <protection hidden="1"/>
    </xf>
    <xf numFmtId="0" fontId="18" fillId="4" borderId="2" xfId="0" applyFont="1" applyFill="1" applyBorder="1" applyAlignment="1" applyProtection="1">
      <alignment vertical="center" wrapText="1"/>
      <protection hidden="1"/>
    </xf>
    <xf numFmtId="0" fontId="4" fillId="4" borderId="4" xfId="0" applyFont="1" applyFill="1" applyBorder="1" applyAlignment="1" applyProtection="1">
      <alignment vertical="center"/>
      <protection hidden="1"/>
    </xf>
    <xf numFmtId="0" fontId="18" fillId="2" borderId="11" xfId="0" applyFont="1" applyFill="1" applyBorder="1" applyAlignment="1" applyProtection="1">
      <alignment horizontal="left" vertical="center" wrapText="1"/>
      <protection hidden="1"/>
    </xf>
    <xf numFmtId="1" fontId="12" fillId="0" borderId="0" xfId="0" applyNumberFormat="1" applyFont="1" applyAlignment="1">
      <alignment horizontal="center" vertical="center"/>
    </xf>
    <xf numFmtId="0" fontId="29" fillId="0" borderId="0" xfId="0" applyFont="1" applyAlignment="1" applyProtection="1">
      <alignment vertical="center" wrapText="1"/>
      <protection hidden="1"/>
    </xf>
    <xf numFmtId="0" fontId="15" fillId="0" borderId="3" xfId="0" applyFont="1" applyBorder="1" applyAlignment="1" applyProtection="1">
      <alignment vertical="center"/>
      <protection hidden="1"/>
    </xf>
    <xf numFmtId="0" fontId="15" fillId="0" borderId="5" xfId="0" applyFont="1" applyBorder="1" applyAlignment="1" applyProtection="1">
      <alignment vertical="center"/>
      <protection hidden="1"/>
    </xf>
    <xf numFmtId="0" fontId="15" fillId="0" borderId="8" xfId="0" applyFont="1" applyBorder="1" applyAlignment="1" applyProtection="1">
      <alignment vertical="center"/>
      <protection hidden="1"/>
    </xf>
    <xf numFmtId="0" fontId="15" fillId="0" borderId="9" xfId="0" applyFont="1" applyBorder="1" applyAlignment="1" applyProtection="1">
      <alignment vertical="center"/>
      <protection hidden="1"/>
    </xf>
    <xf numFmtId="0" fontId="18" fillId="18" borderId="11" xfId="0" applyFont="1" applyFill="1" applyBorder="1" applyAlignment="1" applyProtection="1">
      <alignment horizontal="center" vertical="center" wrapText="1"/>
      <protection hidden="1"/>
    </xf>
    <xf numFmtId="0" fontId="3" fillId="7" borderId="1" xfId="0" applyFont="1" applyFill="1" applyBorder="1" applyAlignment="1">
      <alignment horizontal="left" vertical="center"/>
    </xf>
    <xf numFmtId="0" fontId="5" fillId="0" borderId="24" xfId="0" applyFont="1" applyBorder="1" applyAlignment="1" applyProtection="1">
      <alignment vertical="center"/>
      <protection hidden="1"/>
    </xf>
    <xf numFmtId="0" fontId="18" fillId="0" borderId="25" xfId="0" applyFont="1" applyBorder="1" applyAlignment="1" applyProtection="1">
      <alignment vertical="center" wrapText="1"/>
      <protection hidden="1"/>
    </xf>
    <xf numFmtId="0" fontId="5" fillId="0" borderId="25" xfId="0" applyFont="1" applyBorder="1" applyAlignment="1" applyProtection="1">
      <alignment vertical="center"/>
      <protection hidden="1"/>
    </xf>
    <xf numFmtId="0" fontId="5" fillId="0" borderId="26" xfId="0" applyFont="1" applyBorder="1" applyAlignment="1" applyProtection="1">
      <alignment vertical="center"/>
      <protection hidden="1"/>
    </xf>
    <xf numFmtId="0" fontId="29" fillId="0" borderId="2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wrapText="1"/>
      <protection hidden="1"/>
    </xf>
    <xf numFmtId="169" fontId="2" fillId="4" borderId="1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/>
    </xf>
    <xf numFmtId="0" fontId="61" fillId="16" borderId="11" xfId="12" applyFill="1" applyBorder="1" applyAlignment="1">
      <alignment horizontal="left" vertical="center" wrapText="1"/>
    </xf>
    <xf numFmtId="0" fontId="61" fillId="16" borderId="12" xfId="12" applyFill="1" applyBorder="1" applyAlignment="1">
      <alignment horizontal="left" vertical="center" wrapText="1"/>
    </xf>
    <xf numFmtId="0" fontId="61" fillId="16" borderId="13" xfId="12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4" fillId="16" borderId="11" xfId="0" applyFont="1" applyFill="1" applyBorder="1" applyAlignment="1">
      <alignment horizontal="center" vertical="center"/>
    </xf>
    <xf numFmtId="0" fontId="24" fillId="16" borderId="12" xfId="0" applyFont="1" applyFill="1" applyBorder="1" applyAlignment="1">
      <alignment horizontal="center" vertical="center"/>
    </xf>
    <xf numFmtId="0" fontId="24" fillId="16" borderId="13" xfId="0" applyFont="1" applyFill="1" applyBorder="1" applyAlignment="1">
      <alignment horizontal="center" vertical="center"/>
    </xf>
    <xf numFmtId="169" fontId="5" fillId="4" borderId="11" xfId="0" applyNumberFormat="1" applyFont="1" applyFill="1" applyBorder="1" applyAlignment="1">
      <alignment horizontal="center" vertical="center" wrapText="1"/>
    </xf>
    <xf numFmtId="169" fontId="5" fillId="4" borderId="12" xfId="0" applyNumberFormat="1" applyFont="1" applyFill="1" applyBorder="1" applyAlignment="1">
      <alignment horizontal="center" vertical="center" wrapText="1"/>
    </xf>
    <xf numFmtId="169" fontId="5" fillId="4" borderId="13" xfId="0" applyNumberFormat="1" applyFont="1" applyFill="1" applyBorder="1" applyAlignment="1">
      <alignment horizontal="center" vertical="center" wrapText="1"/>
    </xf>
    <xf numFmtId="0" fontId="58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18" fillId="12" borderId="10" xfId="0" applyFont="1" applyFill="1" applyBorder="1" applyAlignment="1" applyProtection="1">
      <alignment horizontal="center" vertical="center" wrapText="1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  <xf numFmtId="0" fontId="18" fillId="12" borderId="15" xfId="0" applyFont="1" applyFill="1" applyBorder="1" applyAlignment="1" applyProtection="1">
      <alignment horizontal="center" vertical="center"/>
      <protection hidden="1"/>
    </xf>
    <xf numFmtId="0" fontId="18" fillId="13" borderId="10" xfId="0" applyFont="1" applyFill="1" applyBorder="1" applyAlignment="1" applyProtection="1">
      <alignment horizontal="center" vertical="center" wrapText="1"/>
      <protection hidden="1"/>
    </xf>
    <xf numFmtId="0" fontId="18" fillId="13" borderId="15" xfId="0" applyFont="1" applyFill="1" applyBorder="1" applyAlignment="1" applyProtection="1">
      <alignment horizontal="center" vertical="center" wrapText="1"/>
      <protection hidden="1"/>
    </xf>
    <xf numFmtId="0" fontId="29" fillId="11" borderId="1" xfId="0" applyFont="1" applyFill="1" applyBorder="1" applyAlignment="1" applyProtection="1">
      <alignment horizontal="center" vertical="center"/>
      <protection hidden="1"/>
    </xf>
    <xf numFmtId="0" fontId="18" fillId="13" borderId="1" xfId="0" applyFont="1" applyFill="1" applyBorder="1" applyAlignment="1" applyProtection="1">
      <alignment horizontal="center" vertical="center"/>
      <protection hidden="1"/>
    </xf>
    <xf numFmtId="0" fontId="18" fillId="17" borderId="1" xfId="0" applyFont="1" applyFill="1" applyBorder="1" applyAlignment="1" applyProtection="1">
      <alignment horizontal="center" vertical="center"/>
      <protection hidden="1"/>
    </xf>
    <xf numFmtId="0" fontId="18" fillId="17" borderId="10" xfId="0" applyFont="1" applyFill="1" applyBorder="1" applyAlignment="1" applyProtection="1">
      <alignment horizontal="center" vertical="center"/>
      <protection hidden="1"/>
    </xf>
    <xf numFmtId="0" fontId="18" fillId="17" borderId="14" xfId="0" applyFont="1" applyFill="1" applyBorder="1" applyAlignment="1" applyProtection="1">
      <alignment horizontal="center" vertical="center"/>
      <protection hidden="1"/>
    </xf>
    <xf numFmtId="0" fontId="18" fillId="17" borderId="15" xfId="0" applyFont="1" applyFill="1" applyBorder="1" applyAlignment="1" applyProtection="1">
      <alignment horizontal="center" vertical="center"/>
      <protection hidden="1"/>
    </xf>
    <xf numFmtId="0" fontId="18" fillId="13" borderId="10" xfId="0" applyFont="1" applyFill="1" applyBorder="1" applyAlignment="1" applyProtection="1">
      <alignment horizontal="center" vertical="center"/>
      <protection hidden="1"/>
    </xf>
    <xf numFmtId="0" fontId="18" fillId="13" borderId="14" xfId="0" applyFont="1" applyFill="1" applyBorder="1" applyAlignment="1" applyProtection="1">
      <alignment horizontal="center" vertical="center"/>
      <protection hidden="1"/>
    </xf>
    <xf numFmtId="0" fontId="18" fillId="13" borderId="15" xfId="0" applyFont="1" applyFill="1" applyBorder="1" applyAlignment="1" applyProtection="1">
      <alignment horizontal="center" vertical="center"/>
      <protection hidden="1"/>
    </xf>
    <xf numFmtId="0" fontId="29" fillId="11" borderId="10" xfId="0" applyFont="1" applyFill="1" applyBorder="1" applyAlignment="1" applyProtection="1">
      <alignment horizontal="center" vertical="center"/>
      <protection hidden="1"/>
    </xf>
    <xf numFmtId="0" fontId="29" fillId="11" borderId="14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20" fillId="13" borderId="10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2" borderId="10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20" fillId="18" borderId="10" xfId="0" applyFont="1" applyFill="1" applyBorder="1" applyAlignment="1">
      <alignment horizontal="center" vertical="center"/>
    </xf>
    <xf numFmtId="0" fontId="20" fillId="18" borderId="14" xfId="0" applyFont="1" applyFill="1" applyBorder="1" applyAlignment="1">
      <alignment horizontal="center" vertical="center"/>
    </xf>
    <xf numFmtId="0" fontId="20" fillId="18" borderId="4" xfId="0" applyFont="1" applyFill="1" applyBorder="1" applyAlignment="1">
      <alignment horizontal="center" vertical="center"/>
    </xf>
    <xf numFmtId="0" fontId="20" fillId="18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2" fillId="0" borderId="0" xfId="0" applyFont="1" applyAlignment="1" applyProtection="1">
      <alignment horizontal="left" vertical="center"/>
      <protection hidden="1"/>
    </xf>
    <xf numFmtId="0" fontId="20" fillId="10" borderId="10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20" fillId="20" borderId="10" xfId="0" applyFont="1" applyFill="1" applyBorder="1" applyAlignment="1">
      <alignment horizontal="center" vertical="center"/>
    </xf>
    <xf numFmtId="0" fontId="20" fillId="20" borderId="14" xfId="0" applyFont="1" applyFill="1" applyBorder="1" applyAlignment="1">
      <alignment horizontal="center" vertical="center"/>
    </xf>
    <xf numFmtId="0" fontId="20" fillId="20" borderId="15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166" fontId="20" fillId="9" borderId="11" xfId="0" applyNumberFormat="1" applyFont="1" applyFill="1" applyBorder="1" applyAlignment="1">
      <alignment horizontal="left" vertical="center"/>
    </xf>
    <xf numFmtId="166" fontId="20" fillId="9" borderId="12" xfId="0" applyNumberFormat="1" applyFont="1" applyFill="1" applyBorder="1" applyAlignment="1">
      <alignment horizontal="left" vertical="center"/>
    </xf>
    <xf numFmtId="166" fontId="20" fillId="9" borderId="13" xfId="0" applyNumberFormat="1" applyFont="1" applyFill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0" fillId="13" borderId="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2" borderId="11" xfId="0" applyFont="1" applyFill="1" applyBorder="1" applyAlignment="1" applyProtection="1">
      <alignment horizontal="center" vertical="center" wrapText="1"/>
      <protection hidden="1"/>
    </xf>
    <xf numFmtId="0" fontId="18" fillId="2" borderId="12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18" fillId="14" borderId="1" xfId="0" applyFont="1" applyFill="1" applyBorder="1" applyAlignment="1" applyProtection="1">
      <alignment horizontal="center" vertical="center"/>
      <protection hidden="1"/>
    </xf>
    <xf numFmtId="0" fontId="18" fillId="13" borderId="1" xfId="0" applyFont="1" applyFill="1" applyBorder="1" applyAlignment="1" applyProtection="1">
      <alignment horizontal="center" vertical="center" wrapText="1"/>
      <protection hidden="1"/>
    </xf>
    <xf numFmtId="0" fontId="18" fillId="14" borderId="10" xfId="0" applyFont="1" applyFill="1" applyBorder="1" applyAlignment="1" applyProtection="1">
      <alignment horizontal="center" vertical="center"/>
      <protection hidden="1"/>
    </xf>
    <xf numFmtId="0" fontId="18" fillId="14" borderId="14" xfId="0" applyFont="1" applyFill="1" applyBorder="1" applyAlignment="1" applyProtection="1">
      <alignment horizontal="center" vertical="center"/>
      <protection hidden="1"/>
    </xf>
    <xf numFmtId="0" fontId="18" fillId="14" borderId="15" xfId="0" applyFont="1" applyFill="1" applyBorder="1" applyAlignment="1" applyProtection="1">
      <alignment horizontal="center" vertical="center"/>
      <protection hidden="1"/>
    </xf>
    <xf numFmtId="0" fontId="29" fillId="11" borderId="11" xfId="0" applyFont="1" applyFill="1" applyBorder="1" applyAlignment="1" applyProtection="1">
      <alignment horizontal="center" vertical="center"/>
      <protection hidden="1"/>
    </xf>
    <xf numFmtId="0" fontId="18" fillId="14" borderId="10" xfId="0" applyFont="1" applyFill="1" applyBorder="1" applyAlignment="1" applyProtection="1">
      <alignment horizontal="center" vertical="center" wrapText="1"/>
      <protection hidden="1"/>
    </xf>
    <xf numFmtId="0" fontId="18" fillId="14" borderId="14" xfId="0" applyFont="1" applyFill="1" applyBorder="1" applyAlignment="1" applyProtection="1">
      <alignment horizontal="center" vertical="center" wrapText="1"/>
      <protection hidden="1"/>
    </xf>
    <xf numFmtId="0" fontId="18" fillId="14" borderId="15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9" fillId="14" borderId="10" xfId="0" applyFont="1" applyFill="1" applyBorder="1" applyAlignment="1" applyProtection="1">
      <alignment horizontal="center" vertical="center" wrapText="1"/>
      <protection hidden="1"/>
    </xf>
    <xf numFmtId="0" fontId="29" fillId="14" borderId="14" xfId="0" applyFont="1" applyFill="1" applyBorder="1" applyAlignment="1" applyProtection="1">
      <alignment horizontal="center" vertical="center" wrapText="1"/>
      <protection hidden="1"/>
    </xf>
    <xf numFmtId="0" fontId="29" fillId="14" borderId="15" xfId="0" applyFont="1" applyFill="1" applyBorder="1" applyAlignment="1" applyProtection="1">
      <alignment horizontal="center" vertical="center" wrapText="1"/>
      <protection hidden="1"/>
    </xf>
    <xf numFmtId="0" fontId="29" fillId="11" borderId="10" xfId="0" applyFont="1" applyFill="1" applyBorder="1" applyAlignment="1" applyProtection="1">
      <alignment horizontal="center" vertical="center" wrapText="1"/>
      <protection hidden="1"/>
    </xf>
    <xf numFmtId="0" fontId="29" fillId="11" borderId="14" xfId="0" applyFont="1" applyFill="1" applyBorder="1" applyAlignment="1" applyProtection="1">
      <alignment horizontal="center" vertical="center" wrapText="1"/>
      <protection hidden="1"/>
    </xf>
    <xf numFmtId="0" fontId="29" fillId="11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wrapText="1"/>
    </xf>
    <xf numFmtId="0" fontId="18" fillId="11" borderId="10" xfId="0" applyFont="1" applyFill="1" applyBorder="1" applyAlignment="1" applyProtection="1">
      <alignment horizontal="center" vertical="center" wrapText="1"/>
      <protection hidden="1"/>
    </xf>
    <xf numFmtId="0" fontId="18" fillId="11" borderId="14" xfId="0" applyFont="1" applyFill="1" applyBorder="1" applyAlignment="1" applyProtection="1">
      <alignment horizontal="center" vertical="center" wrapText="1"/>
      <protection hidden="1"/>
    </xf>
    <xf numFmtId="0" fontId="18" fillId="11" borderId="1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9" fillId="11" borderId="7" xfId="0" applyFont="1" applyFill="1" applyBorder="1" applyAlignment="1" applyProtection="1">
      <alignment horizontal="center" vertical="center" wrapText="1"/>
      <protection hidden="1"/>
    </xf>
    <xf numFmtId="0" fontId="29" fillId="11" borderId="1" xfId="0" applyFont="1" applyFill="1" applyBorder="1" applyAlignment="1" applyProtection="1">
      <alignment horizontal="center" vertical="center" wrapText="1"/>
      <protection hidden="1"/>
    </xf>
    <xf numFmtId="0" fontId="29" fillId="13" borderId="10" xfId="0" applyFont="1" applyFill="1" applyBorder="1" applyAlignment="1" applyProtection="1">
      <alignment horizontal="center" vertical="center"/>
      <protection hidden="1"/>
    </xf>
    <xf numFmtId="0" fontId="29" fillId="13" borderId="14" xfId="0" applyFont="1" applyFill="1" applyBorder="1" applyAlignment="1" applyProtection="1">
      <alignment horizontal="center" vertical="center"/>
      <protection hidden="1"/>
    </xf>
    <xf numFmtId="0" fontId="29" fillId="13" borderId="15" xfId="0" applyFont="1" applyFill="1" applyBorder="1" applyAlignment="1" applyProtection="1">
      <alignment horizontal="center" vertical="center"/>
      <protection hidden="1"/>
    </xf>
    <xf numFmtId="0" fontId="18" fillId="4" borderId="14" xfId="0" applyFont="1" applyFill="1" applyBorder="1" applyAlignment="1" applyProtection="1">
      <alignment horizontal="center" vertical="center" wrapText="1"/>
      <protection hidden="1"/>
    </xf>
    <xf numFmtId="0" fontId="18" fillId="4" borderId="15" xfId="0" applyFont="1" applyFill="1" applyBorder="1" applyAlignment="1" applyProtection="1">
      <alignment horizontal="center" vertical="center" wrapText="1"/>
      <protection hidden="1"/>
    </xf>
    <xf numFmtId="0" fontId="18" fillId="12" borderId="14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31" fillId="6" borderId="1" xfId="0" applyFont="1" applyFill="1" applyBorder="1" applyAlignment="1" applyProtection="1">
      <alignment horizontal="center" vertical="center" wrapText="1"/>
      <protection hidden="1"/>
    </xf>
    <xf numFmtId="0" fontId="27" fillId="8" borderId="11" xfId="0" applyFont="1" applyFill="1" applyBorder="1" applyAlignment="1" applyProtection="1">
      <alignment horizontal="center" vertical="center" wrapText="1"/>
      <protection locked="0" hidden="1"/>
    </xf>
    <xf numFmtId="0" fontId="27" fillId="8" borderId="13" xfId="0" applyFont="1" applyFill="1" applyBorder="1" applyAlignment="1" applyProtection="1">
      <alignment horizontal="center" vertical="center" wrapText="1"/>
      <protection locked="0" hidden="1"/>
    </xf>
    <xf numFmtId="0" fontId="24" fillId="0" borderId="6" xfId="0" applyFont="1" applyBorder="1" applyAlignment="1" applyProtection="1">
      <alignment horizontal="left" vertical="center" wrapText="1"/>
      <protection hidden="1"/>
    </xf>
    <xf numFmtId="0" fontId="34" fillId="7" borderId="2" xfId="0" applyFont="1" applyFill="1" applyBorder="1" applyAlignment="1" applyProtection="1">
      <alignment horizontal="left" vertical="center" wrapText="1"/>
      <protection hidden="1"/>
    </xf>
    <xf numFmtId="0" fontId="34" fillId="7" borderId="6" xfId="0" applyFont="1" applyFill="1" applyBorder="1" applyAlignment="1" applyProtection="1">
      <alignment horizontal="left" vertical="center" wrapText="1"/>
      <protection hidden="1"/>
    </xf>
    <xf numFmtId="0" fontId="34" fillId="7" borderId="3" xfId="0" applyFont="1" applyFill="1" applyBorder="1" applyAlignment="1" applyProtection="1">
      <alignment horizontal="left" vertical="center" wrapText="1"/>
      <protection hidden="1"/>
    </xf>
    <xf numFmtId="0" fontId="34" fillId="7" borderId="4" xfId="0" applyFont="1" applyFill="1" applyBorder="1" applyAlignment="1" applyProtection="1">
      <alignment horizontal="left" vertical="center" wrapText="1"/>
      <protection hidden="1"/>
    </xf>
    <xf numFmtId="0" fontId="34" fillId="7" borderId="0" xfId="0" applyFont="1" applyFill="1" applyAlignment="1" applyProtection="1">
      <alignment horizontal="left" vertical="center" wrapText="1"/>
      <protection hidden="1"/>
    </xf>
    <xf numFmtId="0" fontId="34" fillId="7" borderId="5" xfId="0" applyFont="1" applyFill="1" applyBorder="1" applyAlignment="1" applyProtection="1">
      <alignment horizontal="left" vertical="center" wrapText="1"/>
      <protection hidden="1"/>
    </xf>
    <xf numFmtId="0" fontId="34" fillId="7" borderId="11" xfId="0" applyFont="1" applyFill="1" applyBorder="1" applyAlignment="1" applyProtection="1">
      <alignment horizontal="center" vertical="center" wrapText="1"/>
      <protection hidden="1"/>
    </xf>
    <xf numFmtId="0" fontId="34" fillId="7" borderId="13" xfId="0" applyFont="1" applyFill="1" applyBorder="1" applyAlignment="1" applyProtection="1">
      <alignment horizontal="center" vertical="center" wrapText="1"/>
      <protection hidden="1"/>
    </xf>
    <xf numFmtId="0" fontId="31" fillId="6" borderId="11" xfId="0" applyFont="1" applyFill="1" applyBorder="1" applyAlignment="1" applyProtection="1">
      <alignment horizontal="center" vertical="center" wrapText="1"/>
      <protection hidden="1"/>
    </xf>
    <xf numFmtId="0" fontId="31" fillId="6" borderId="12" xfId="0" applyFont="1" applyFill="1" applyBorder="1" applyAlignment="1" applyProtection="1">
      <alignment horizontal="center" vertical="center" wrapText="1"/>
      <protection hidden="1"/>
    </xf>
    <xf numFmtId="0" fontId="31" fillId="6" borderId="13" xfId="0" applyFont="1" applyFill="1" applyBorder="1" applyAlignment="1" applyProtection="1">
      <alignment horizontal="center" vertical="center" wrapText="1"/>
      <protection hidden="1"/>
    </xf>
    <xf numFmtId="0" fontId="34" fillId="7" borderId="7" xfId="0" applyFont="1" applyFill="1" applyBorder="1" applyAlignment="1" applyProtection="1">
      <alignment horizontal="left" vertical="center" wrapText="1"/>
      <protection hidden="1"/>
    </xf>
    <xf numFmtId="0" fontId="34" fillId="7" borderId="8" xfId="0" applyFont="1" applyFill="1" applyBorder="1" applyAlignment="1" applyProtection="1">
      <alignment horizontal="left" vertical="center" wrapText="1"/>
      <protection hidden="1"/>
    </xf>
    <xf numFmtId="0" fontId="34" fillId="7" borderId="9" xfId="0" applyFont="1" applyFill="1" applyBorder="1" applyAlignment="1" applyProtection="1">
      <alignment horizontal="left" vertical="center" wrapText="1"/>
      <protection hidden="1"/>
    </xf>
    <xf numFmtId="0" fontId="5" fillId="12" borderId="4" xfId="0" applyFont="1" applyFill="1" applyBorder="1" applyAlignment="1" applyProtection="1">
      <alignment horizontal="center" wrapText="1"/>
      <protection hidden="1"/>
    </xf>
    <xf numFmtId="0" fontId="5" fillId="12" borderId="0" xfId="0" applyFont="1" applyFill="1" applyAlignment="1" applyProtection="1">
      <alignment horizontal="center" wrapText="1"/>
      <protection hidden="1"/>
    </xf>
    <xf numFmtId="0" fontId="5" fillId="12" borderId="5" xfId="0" applyFont="1" applyFill="1" applyBorder="1" applyAlignment="1" applyProtection="1">
      <alignment horizontal="center" wrapText="1"/>
      <protection hidden="1"/>
    </xf>
    <xf numFmtId="0" fontId="5" fillId="12" borderId="17" xfId="0" applyFont="1" applyFill="1" applyBorder="1" applyAlignment="1" applyProtection="1">
      <alignment horizontal="center" vertical="center" wrapText="1"/>
      <protection hidden="1"/>
    </xf>
    <xf numFmtId="0" fontId="5" fillId="12" borderId="20" xfId="0" applyFont="1" applyFill="1" applyBorder="1" applyAlignment="1" applyProtection="1">
      <alignment horizontal="center" vertical="center" wrapText="1"/>
      <protection hidden="1"/>
    </xf>
    <xf numFmtId="0" fontId="5" fillId="12" borderId="19" xfId="0" applyFont="1" applyFill="1" applyBorder="1" applyAlignment="1" applyProtection="1">
      <alignment horizontal="center" vertical="center" wrapText="1"/>
      <protection hidden="1"/>
    </xf>
    <xf numFmtId="0" fontId="24" fillId="20" borderId="0" xfId="0" applyFont="1" applyFill="1" applyAlignment="1" applyProtection="1">
      <alignment horizontal="left"/>
      <protection hidden="1"/>
    </xf>
    <xf numFmtId="0" fontId="5" fillId="7" borderId="17" xfId="0" applyFont="1" applyFill="1" applyBorder="1" applyAlignment="1" applyProtection="1">
      <alignment horizontal="center" vertical="center" wrapText="1"/>
      <protection hidden="1"/>
    </xf>
    <xf numFmtId="0" fontId="5" fillId="7" borderId="19" xfId="0" applyFont="1" applyFill="1" applyBorder="1" applyAlignment="1" applyProtection="1">
      <alignment horizontal="center" vertical="center" wrapText="1"/>
      <protection hidden="1"/>
    </xf>
    <xf numFmtId="0" fontId="5" fillId="7" borderId="4" xfId="0" applyFont="1" applyFill="1" applyBorder="1" applyAlignment="1" applyProtection="1">
      <alignment horizontal="center" wrapText="1"/>
      <protection hidden="1"/>
    </xf>
    <xf numFmtId="0" fontId="5" fillId="7" borderId="5" xfId="0" applyFont="1" applyFill="1" applyBorder="1" applyAlignment="1" applyProtection="1">
      <alignment horizontal="center" wrapText="1"/>
      <protection hidden="1"/>
    </xf>
    <xf numFmtId="0" fontId="5" fillId="17" borderId="17" xfId="0" applyFont="1" applyFill="1" applyBorder="1" applyAlignment="1" applyProtection="1">
      <alignment horizontal="left" vertical="center" wrapText="1"/>
      <protection hidden="1"/>
    </xf>
    <xf numFmtId="0" fontId="5" fillId="17" borderId="20" xfId="0" applyFont="1" applyFill="1" applyBorder="1" applyAlignment="1" applyProtection="1">
      <alignment horizontal="left" vertical="center" wrapText="1"/>
      <protection hidden="1"/>
    </xf>
    <xf numFmtId="0" fontId="5" fillId="17" borderId="19" xfId="0" applyFont="1" applyFill="1" applyBorder="1" applyAlignment="1" applyProtection="1">
      <alignment horizontal="left" vertical="center" wrapText="1"/>
      <protection hidden="1"/>
    </xf>
    <xf numFmtId="0" fontId="5" fillId="17" borderId="17" xfId="0" applyFont="1" applyFill="1" applyBorder="1" applyAlignment="1" applyProtection="1">
      <alignment horizontal="center" vertical="center" wrapText="1"/>
      <protection hidden="1"/>
    </xf>
    <xf numFmtId="0" fontId="5" fillId="17" borderId="20" xfId="0" applyFont="1" applyFill="1" applyBorder="1" applyAlignment="1" applyProtection="1">
      <alignment horizontal="center" vertical="center" wrapText="1"/>
      <protection hidden="1"/>
    </xf>
    <xf numFmtId="0" fontId="5" fillId="17" borderId="19" xfId="0" applyFont="1" applyFill="1" applyBorder="1" applyAlignment="1" applyProtection="1">
      <alignment horizontal="center" vertical="center" wrapText="1"/>
      <protection hidden="1"/>
    </xf>
    <xf numFmtId="0" fontId="5" fillId="17" borderId="4" xfId="0" applyFont="1" applyFill="1" applyBorder="1" applyAlignment="1" applyProtection="1">
      <alignment horizontal="center" wrapText="1"/>
      <protection hidden="1"/>
    </xf>
    <xf numFmtId="0" fontId="5" fillId="17" borderId="0" xfId="0" applyFont="1" applyFill="1" applyAlignment="1" applyProtection="1">
      <alignment horizontal="center" wrapText="1"/>
      <protection hidden="1"/>
    </xf>
    <xf numFmtId="0" fontId="5" fillId="17" borderId="5" xfId="0" applyFont="1" applyFill="1" applyBorder="1" applyAlignment="1" applyProtection="1">
      <alignment horizontal="center" wrapText="1"/>
      <protection hidden="1"/>
    </xf>
    <xf numFmtId="0" fontId="5" fillId="17" borderId="4" xfId="0" applyFont="1" applyFill="1" applyBorder="1" applyAlignment="1" applyProtection="1">
      <alignment horizontal="left" wrapText="1"/>
      <protection hidden="1"/>
    </xf>
    <xf numFmtId="0" fontId="5" fillId="17" borderId="0" xfId="0" applyFont="1" applyFill="1" applyAlignment="1" applyProtection="1">
      <alignment horizontal="left" wrapText="1"/>
      <protection hidden="1"/>
    </xf>
    <xf numFmtId="0" fontId="5" fillId="17" borderId="5" xfId="0" applyFont="1" applyFill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1" fontId="9" fillId="0" borderId="14" xfId="0" applyNumberFormat="1" applyFont="1" applyBorder="1" applyAlignment="1" applyProtection="1">
      <alignment horizontal="center" vertical="center" wrapText="1"/>
      <protection hidden="1"/>
    </xf>
  </cellXfs>
  <cellStyles count="13">
    <cellStyle name="Comma" xfId="6" builtinId="3"/>
    <cellStyle name="Comma 2" xfId="11" xr:uid="{81E70E8E-BCCB-47E9-9A80-7E51D4906DDA}"/>
    <cellStyle name="Hyperlink" xfId="12" builtinId="8" customBuiltin="1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9" xr:uid="{A89A043A-6DB4-4B21-8433-55A511D11CD2}"/>
    <cellStyle name="Normal 5" xfId="8" xr:uid="{E385C719-241B-4F34-B399-5C86EF1567DC}"/>
    <cellStyle name="Normal 6" xfId="7" xr:uid="{00000000-0005-0000-0000-000036000000}"/>
    <cellStyle name="Per cent" xfId="5" builtinId="5"/>
    <cellStyle name="Percent 2" xfId="10" xr:uid="{29201D09-EA55-4F06-BE50-8E8EBE8A7013}"/>
  </cellStyles>
  <dxfs count="16"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C000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numFmt numFmtId="0" formatCode="General"/>
      <fill>
        <patternFill patternType="none">
          <bgColor auto="1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9" defaultPivotStyle="PivotStyleLight16"/>
  <colors>
    <mruColors>
      <color rgb="FFCE3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nottingham.ac.uk/hr/aboutus/hr-management-information-and-systems-team.aspx" TargetMode="Externa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gov.uk/become-apprentice" TargetMode="Externa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-0.249977111117893"/>
    <pageSetUpPr fitToPage="1"/>
  </sheetPr>
  <dimension ref="B1:V41"/>
  <sheetViews>
    <sheetView topLeftCell="A20" zoomScaleNormal="100" workbookViewId="0">
      <selection activeCell="D24" sqref="D24"/>
    </sheetView>
  </sheetViews>
  <sheetFormatPr defaultColWidth="9.1796875" defaultRowHeight="14" x14ac:dyDescent="0.3"/>
  <cols>
    <col min="1" max="1" width="6.7265625" style="61" customWidth="1"/>
    <col min="2" max="2" width="32" style="61" bestFit="1" customWidth="1"/>
    <col min="3" max="3" width="45.26953125" style="61" bestFit="1" customWidth="1"/>
    <col min="4" max="5" width="35.7265625" style="61" customWidth="1"/>
    <col min="6" max="6" width="29.54296875" style="61" customWidth="1"/>
    <col min="7" max="7" width="17.453125" style="61" bestFit="1" customWidth="1"/>
    <col min="8" max="16384" width="9.1796875" style="61"/>
  </cols>
  <sheetData>
    <row r="1" spans="2:8" s="59" customFormat="1" ht="30" x14ac:dyDescent="0.35">
      <c r="B1" s="306" t="s">
        <v>0</v>
      </c>
      <c r="C1" s="306"/>
      <c r="D1" s="306"/>
      <c r="E1" s="306"/>
      <c r="F1" s="60"/>
      <c r="G1" s="199"/>
      <c r="H1" s="199"/>
    </row>
    <row r="2" spans="2:8" s="59" customFormat="1" ht="30" customHeight="1" x14ac:dyDescent="0.35">
      <c r="B2" s="58"/>
      <c r="C2" s="199"/>
      <c r="D2" s="199"/>
      <c r="E2" s="199"/>
      <c r="F2" s="60"/>
      <c r="G2" s="199"/>
      <c r="H2" s="199"/>
    </row>
    <row r="3" spans="2:8" s="59" customFormat="1" ht="34.5" customHeight="1" x14ac:dyDescent="0.35">
      <c r="B3" s="178" t="s">
        <v>1</v>
      </c>
      <c r="C3" s="311" t="s">
        <v>2</v>
      </c>
      <c r="D3" s="312"/>
      <c r="E3" s="313"/>
      <c r="F3" s="60"/>
      <c r="G3" s="199"/>
      <c r="H3" s="199"/>
    </row>
    <row r="4" spans="2:8" s="59" customFormat="1" ht="34.5" customHeight="1" x14ac:dyDescent="0.35">
      <c r="B4" s="192" t="s">
        <v>3</v>
      </c>
      <c r="C4" s="314" t="s">
        <v>4</v>
      </c>
      <c r="D4" s="315"/>
      <c r="E4" s="316"/>
      <c r="F4" s="60"/>
      <c r="G4" s="199"/>
      <c r="H4" s="199"/>
    </row>
    <row r="5" spans="2:8" s="59" customFormat="1" ht="34.5" customHeight="1" x14ac:dyDescent="0.35">
      <c r="B5" s="192" t="s">
        <v>5</v>
      </c>
      <c r="C5" s="314"/>
      <c r="D5" s="315"/>
      <c r="E5" s="316"/>
      <c r="F5" s="60"/>
      <c r="G5" s="199"/>
      <c r="H5" s="199"/>
    </row>
    <row r="6" spans="2:8" s="59" customFormat="1" ht="34.5" customHeight="1" x14ac:dyDescent="0.35">
      <c r="B6" s="192" t="s">
        <v>348</v>
      </c>
      <c r="C6" s="314"/>
      <c r="D6" s="315"/>
      <c r="E6" s="316"/>
      <c r="F6" s="60"/>
      <c r="G6" s="199"/>
      <c r="H6" s="199"/>
    </row>
    <row r="7" spans="2:8" s="59" customFormat="1" ht="34.5" customHeight="1" x14ac:dyDescent="0.35">
      <c r="B7" s="192" t="s">
        <v>6</v>
      </c>
      <c r="C7" s="314"/>
      <c r="D7" s="315"/>
      <c r="E7" s="316"/>
      <c r="F7" s="60"/>
      <c r="G7" s="199"/>
      <c r="H7" s="199"/>
    </row>
    <row r="8" spans="2:8" s="59" customFormat="1" ht="34.5" customHeight="1" x14ac:dyDescent="0.35">
      <c r="B8" s="193" t="s">
        <v>7</v>
      </c>
      <c r="C8" s="314"/>
      <c r="D8" s="315"/>
      <c r="E8" s="316"/>
      <c r="F8" s="60"/>
      <c r="G8" s="199"/>
      <c r="H8" s="199"/>
    </row>
    <row r="9" spans="2:8" s="59" customFormat="1" ht="34.5" customHeight="1" x14ac:dyDescent="0.35">
      <c r="B9" s="193" t="s">
        <v>8</v>
      </c>
      <c r="C9" s="314"/>
      <c r="D9" s="315"/>
      <c r="E9" s="316"/>
      <c r="F9" s="60"/>
      <c r="G9" s="199"/>
      <c r="H9" s="199"/>
    </row>
    <row r="10" spans="2:8" s="59" customFormat="1" ht="34.5" customHeight="1" x14ac:dyDescent="0.35">
      <c r="B10" s="193" t="s">
        <v>9</v>
      </c>
      <c r="C10" s="314"/>
      <c r="D10" s="315"/>
      <c r="E10" s="316"/>
      <c r="F10" s="60"/>
      <c r="G10" s="199"/>
      <c r="H10" s="199"/>
    </row>
    <row r="11" spans="2:8" s="59" customFormat="1" ht="34.5" customHeight="1" x14ac:dyDescent="0.35">
      <c r="B11" s="193" t="s">
        <v>10</v>
      </c>
      <c r="C11" s="314"/>
      <c r="D11" s="315"/>
      <c r="E11" s="316"/>
      <c r="F11" s="60"/>
      <c r="G11" s="199"/>
      <c r="H11" s="199"/>
    </row>
    <row r="12" spans="2:8" s="59" customFormat="1" ht="60" customHeight="1" x14ac:dyDescent="0.35">
      <c r="B12" s="193" t="s">
        <v>11</v>
      </c>
      <c r="C12" s="314" t="s">
        <v>12</v>
      </c>
      <c r="D12" s="315"/>
      <c r="E12" s="316"/>
      <c r="F12" s="60"/>
      <c r="G12" s="199"/>
      <c r="H12" s="199"/>
    </row>
    <row r="13" spans="2:8" s="59" customFormat="1" ht="60" customHeight="1" x14ac:dyDescent="0.35">
      <c r="B13" s="193" t="s">
        <v>13</v>
      </c>
      <c r="C13" s="314" t="s">
        <v>14</v>
      </c>
      <c r="D13" s="315"/>
      <c r="E13" s="316"/>
      <c r="F13" s="60"/>
      <c r="G13" s="199"/>
      <c r="H13" s="199"/>
    </row>
    <row r="14" spans="2:8" s="59" customFormat="1" ht="50.15" customHeight="1" x14ac:dyDescent="0.35">
      <c r="B14" s="58"/>
      <c r="C14" s="199"/>
      <c r="D14" s="199"/>
      <c r="E14" s="199"/>
      <c r="F14" s="60"/>
      <c r="G14" s="199"/>
      <c r="H14" s="199"/>
    </row>
    <row r="15" spans="2:8" s="59" customFormat="1" ht="30" customHeight="1" x14ac:dyDescent="0.35">
      <c r="B15" s="306" t="s">
        <v>15</v>
      </c>
      <c r="C15" s="306"/>
      <c r="D15" s="306"/>
      <c r="E15" s="306"/>
      <c r="F15" s="199"/>
      <c r="G15" s="199"/>
      <c r="H15" s="60"/>
    </row>
    <row r="16" spans="2:8" s="59" customFormat="1" ht="30" x14ac:dyDescent="0.35">
      <c r="B16" s="58"/>
      <c r="C16" s="58"/>
      <c r="D16" s="199"/>
      <c r="E16" s="199"/>
      <c r="F16" s="199"/>
      <c r="G16" s="199"/>
      <c r="H16" s="60"/>
    </row>
    <row r="17" spans="2:22" s="59" customFormat="1" ht="34.5" customHeight="1" x14ac:dyDescent="0.35">
      <c r="B17" s="310" t="s">
        <v>16</v>
      </c>
      <c r="C17" s="310"/>
      <c r="D17" s="310"/>
      <c r="E17" s="310"/>
      <c r="F17" s="199"/>
      <c r="G17" s="199"/>
      <c r="H17" s="60"/>
    </row>
    <row r="18" spans="2:22" s="59" customFormat="1" ht="34.5" customHeight="1" x14ac:dyDescent="0.35">
      <c r="B18" s="66">
        <v>2024.4</v>
      </c>
      <c r="C18" s="199"/>
      <c r="D18" s="129"/>
      <c r="E18" s="129"/>
      <c r="F18" s="129"/>
      <c r="G18" s="129"/>
      <c r="H18" s="12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</row>
    <row r="19" spans="2:22" s="59" customFormat="1" ht="30" x14ac:dyDescent="0.35">
      <c r="B19" s="58"/>
      <c r="C19" s="58"/>
      <c r="D19" s="129"/>
      <c r="E19" s="129"/>
      <c r="F19" s="129"/>
      <c r="G19" s="129"/>
      <c r="H19" s="12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</row>
    <row r="20" spans="2:22" s="59" customFormat="1" ht="34.5" customHeight="1" x14ac:dyDescent="0.35">
      <c r="B20" s="310" t="s">
        <v>17</v>
      </c>
      <c r="C20" s="310"/>
      <c r="D20" s="310"/>
      <c r="E20" s="310"/>
      <c r="F20" s="199"/>
      <c r="G20" s="199"/>
      <c r="H20" s="60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</row>
    <row r="21" spans="2:22" s="59" customFormat="1" ht="34.5" customHeight="1" x14ac:dyDescent="0.35">
      <c r="B21" s="66" t="s">
        <v>18</v>
      </c>
      <c r="C21" s="66" t="s">
        <v>19</v>
      </c>
      <c r="D21" s="75" t="s">
        <v>20</v>
      </c>
      <c r="E21" s="74" t="s">
        <v>21</v>
      </c>
      <c r="F21" s="199"/>
      <c r="G21" s="199"/>
      <c r="H21" s="60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</row>
    <row r="22" spans="2:22" s="59" customFormat="1" ht="34.5" customHeight="1" x14ac:dyDescent="0.35">
      <c r="B22" s="67" t="s">
        <v>22</v>
      </c>
      <c r="C22" s="200" t="s">
        <v>23</v>
      </c>
      <c r="D22" s="201">
        <v>45597</v>
      </c>
      <c r="E22" s="202">
        <v>45582</v>
      </c>
      <c r="F22" s="199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</row>
    <row r="23" spans="2:22" s="59" customFormat="1" ht="34.5" customHeight="1" x14ac:dyDescent="0.35">
      <c r="B23" s="65" t="s">
        <v>22</v>
      </c>
      <c r="C23" s="200" t="s">
        <v>24</v>
      </c>
      <c r="D23" s="201">
        <v>45505</v>
      </c>
      <c r="E23" s="201">
        <v>45558</v>
      </c>
      <c r="F23" s="199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</row>
    <row r="24" spans="2:22" s="59" customFormat="1" ht="34.5" customHeight="1" x14ac:dyDescent="0.35">
      <c r="B24" s="65" t="s">
        <v>22</v>
      </c>
      <c r="C24" s="200" t="s">
        <v>25</v>
      </c>
      <c r="D24" s="305">
        <v>45597</v>
      </c>
      <c r="E24" s="202">
        <v>45582</v>
      </c>
      <c r="F24" s="199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</row>
    <row r="25" spans="2:22" s="59" customFormat="1" ht="34.5" customHeight="1" x14ac:dyDescent="0.35">
      <c r="B25" s="65" t="s">
        <v>22</v>
      </c>
      <c r="C25" s="200" t="s">
        <v>26</v>
      </c>
      <c r="D25" s="201">
        <v>45505</v>
      </c>
      <c r="E25" s="202">
        <v>45558</v>
      </c>
      <c r="F25" s="199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2:22" s="59" customFormat="1" ht="34.5" customHeight="1" x14ac:dyDescent="0.35">
      <c r="B26" s="67" t="s">
        <v>27</v>
      </c>
      <c r="C26" s="200" t="s">
        <v>28</v>
      </c>
      <c r="D26" s="201">
        <v>45383</v>
      </c>
      <c r="E26" s="202">
        <v>45408</v>
      </c>
      <c r="F26" s="199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</row>
    <row r="27" spans="2:22" s="59" customFormat="1" ht="34.5" customHeight="1" x14ac:dyDescent="0.35">
      <c r="B27" s="67" t="s">
        <v>29</v>
      </c>
      <c r="C27" s="203" t="s">
        <v>30</v>
      </c>
      <c r="D27" s="201">
        <v>45017</v>
      </c>
      <c r="E27" s="201">
        <v>45177</v>
      </c>
      <c r="F27" s="199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</row>
    <row r="28" spans="2:22" s="59" customFormat="1" ht="34.5" customHeight="1" x14ac:dyDescent="0.35">
      <c r="B28" s="67" t="s">
        <v>29</v>
      </c>
      <c r="C28" s="298" t="s">
        <v>353</v>
      </c>
      <c r="D28" s="201">
        <v>45383</v>
      </c>
      <c r="E28" s="201">
        <v>45558</v>
      </c>
      <c r="F28" s="199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2:22" s="59" customFormat="1" ht="34.5" customHeight="1" x14ac:dyDescent="0.35">
      <c r="B29" s="67" t="s">
        <v>31</v>
      </c>
      <c r="C29" s="200" t="s">
        <v>32</v>
      </c>
      <c r="D29" s="201">
        <v>45292</v>
      </c>
      <c r="E29" s="202">
        <v>45408</v>
      </c>
      <c r="F29" s="199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2:22" s="59" customFormat="1" ht="34.5" customHeight="1" x14ac:dyDescent="0.35">
      <c r="B30" s="67" t="s">
        <v>33</v>
      </c>
      <c r="C30" s="200" t="s">
        <v>34</v>
      </c>
      <c r="D30" s="201">
        <v>45383</v>
      </c>
      <c r="E30" s="201">
        <v>45408</v>
      </c>
      <c r="F30" s="199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2:22" s="59" customFormat="1" ht="34.5" customHeight="1" x14ac:dyDescent="0.35">
      <c r="B31" s="67" t="s">
        <v>35</v>
      </c>
      <c r="C31" s="200" t="s">
        <v>36</v>
      </c>
      <c r="D31" s="201">
        <v>44652</v>
      </c>
      <c r="E31" s="201">
        <v>44664</v>
      </c>
      <c r="F31" s="199"/>
      <c r="G31" s="199"/>
      <c r="H31" s="60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</row>
    <row r="32" spans="2:22" s="59" customFormat="1" ht="34.5" customHeight="1" x14ac:dyDescent="0.35">
      <c r="B32" s="67" t="s">
        <v>37</v>
      </c>
      <c r="C32" s="200" t="s">
        <v>38</v>
      </c>
      <c r="D32" s="201">
        <v>45139</v>
      </c>
      <c r="E32" s="201">
        <v>45135</v>
      </c>
      <c r="F32" s="199"/>
      <c r="G32" s="199"/>
      <c r="H32" s="60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</row>
    <row r="33" spans="2:22" s="59" customFormat="1" ht="34.5" customHeight="1" x14ac:dyDescent="0.35">
      <c r="B33" s="67" t="s">
        <v>342</v>
      </c>
      <c r="C33" s="273"/>
      <c r="D33" s="201"/>
      <c r="E33" s="202"/>
      <c r="F33" s="199"/>
      <c r="G33" s="199"/>
      <c r="H33" s="60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</row>
    <row r="34" spans="2:22" s="59" customFormat="1" ht="34.5" customHeight="1" x14ac:dyDescent="0.35">
      <c r="B34" s="65" t="s">
        <v>39</v>
      </c>
      <c r="C34" s="65"/>
      <c r="D34" s="204"/>
      <c r="E34" s="204">
        <f>MAX(E22:E33)</f>
        <v>45582</v>
      </c>
      <c r="F34" s="199"/>
      <c r="G34" s="199"/>
      <c r="H34" s="60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</row>
    <row r="35" spans="2:22" s="59" customFormat="1" ht="34.5" customHeight="1" x14ac:dyDescent="0.35">
      <c r="B35" s="307" t="s">
        <v>40</v>
      </c>
      <c r="C35" s="308"/>
      <c r="D35" s="308"/>
      <c r="E35" s="309"/>
      <c r="F35" s="199"/>
      <c r="G35" s="199"/>
    </row>
    <row r="36" spans="2:22" s="59" customFormat="1" ht="34.5" customHeight="1" x14ac:dyDescent="0.35">
      <c r="B36" s="199"/>
      <c r="C36" s="199"/>
      <c r="D36" s="199"/>
      <c r="E36" s="199"/>
      <c r="F36" s="199"/>
      <c r="G36" s="199"/>
    </row>
    <row r="37" spans="2:22" s="59" customFormat="1" ht="35.15" customHeight="1" x14ac:dyDescent="0.35">
      <c r="B37" s="199"/>
      <c r="C37" s="199"/>
      <c r="D37" s="199"/>
      <c r="E37" s="199"/>
      <c r="F37" s="199"/>
      <c r="G37" s="199"/>
    </row>
    <row r="38" spans="2:22" ht="35.15" customHeight="1" x14ac:dyDescent="0.3">
      <c r="B38" s="199"/>
      <c r="C38" s="199"/>
      <c r="D38" s="199"/>
      <c r="E38" s="199"/>
      <c r="F38" s="199"/>
      <c r="G38" s="199"/>
    </row>
    <row r="39" spans="2:22" x14ac:dyDescent="0.3">
      <c r="B39" s="205"/>
      <c r="C39" s="205"/>
      <c r="D39" s="205"/>
      <c r="E39" s="205"/>
      <c r="F39" s="199"/>
      <c r="G39" s="199"/>
    </row>
    <row r="40" spans="2:22" x14ac:dyDescent="0.3">
      <c r="B40" s="205"/>
      <c r="C40" s="205"/>
      <c r="D40" s="205"/>
      <c r="E40" s="205"/>
      <c r="F40" s="199"/>
      <c r="G40" s="199"/>
    </row>
    <row r="41" spans="2:22" x14ac:dyDescent="0.3">
      <c r="B41" s="205"/>
      <c r="C41" s="205"/>
      <c r="D41" s="205"/>
      <c r="E41" s="205"/>
      <c r="F41" s="199"/>
      <c r="G41" s="199"/>
    </row>
  </sheetData>
  <sheetProtection algorithmName="SHA-512" hashValue="gB7rWWTSn9rf0OBwkHJ71RFcbJWdDV7/pcea5LK9ItJYXWftvisWcPlfatFg64RrnsMCD6ODxWHnveFkx+Nhcg==" saltValue="OdDtytvZefYkpnuFy4ekOA==" spinCount="100000" sheet="1" objects="1" scenarios="1"/>
  <customSheetViews>
    <customSheetView guid="{DC156EF3-60B9-4D72-83CB-66DF98F35EAF}" fitToPage="1" topLeftCell="A2">
      <selection activeCell="B3" sqref="B3:B13"/>
      <pageMargins left="0.7" right="0.7" top="0.75" bottom="0.75" header="0.3" footer="0.3"/>
      <pageSetup paperSize="9" scale="62" fitToHeight="0" orientation="portrait" r:id="rId1"/>
    </customSheetView>
  </customSheetViews>
  <mergeCells count="9">
    <mergeCell ref="B1:E1"/>
    <mergeCell ref="B35:E35"/>
    <mergeCell ref="B17:E17"/>
    <mergeCell ref="B20:E20"/>
    <mergeCell ref="B15:E15"/>
    <mergeCell ref="C3:E3"/>
    <mergeCell ref="C4:E11"/>
    <mergeCell ref="C12:E12"/>
    <mergeCell ref="C13:E13"/>
  </mergeCells>
  <conditionalFormatting sqref="E22:E34">
    <cfRule type="top10" dxfId="15" priority="54" rank="1"/>
  </conditionalFormatting>
  <hyperlinks>
    <hyperlink ref="B35:E35" r:id="rId2" display="Produced by the HR MIS team." xr:uid="{804B3C33-637F-429E-8B5E-3CB051778882}"/>
    <hyperlink ref="B4" location="'Level 1-3 scale'!A1" display="Level 1-3 scale" xr:uid="{A81763A8-7A06-426B-BDFF-41B9C1759C1F}"/>
    <hyperlink ref="B5" location="'Apprenticeship scale'!A1" display="Apprenticeship scale" xr:uid="{4406A41D-AC4D-402C-B3EE-7E827FEC86D0}"/>
    <hyperlink ref="B7" location="'Level 4-6 scale'!A1" display="Level 4-6 scale" xr:uid="{93875822-C527-4E44-B789-276C7078C5BB}"/>
    <hyperlink ref="B8" location="'Level 7 scale'!A1" display="Level 7 scale" xr:uid="{19349F07-2840-4B1D-8134-8B8E2F055420}"/>
    <hyperlink ref="B9" location="'Level 7 R&amp;T banded scale'!A1" display="Level 7 R&amp;T banded scale" xr:uid="{8003841D-27B8-472B-B189-B9782C307D13}"/>
    <hyperlink ref="B10" location="'Clinical scales'!A1" display="Clinical scales" xr:uid="{BD9C6594-EFE1-43E7-854A-6C7F44F5B66C}"/>
    <hyperlink ref="B11" location="'Casual worker scales'!A1" display="Casual worker scales" xr:uid="{56E263F5-317D-46A5-BFDF-D8E114F5C400}"/>
    <hyperlink ref="B12" location="'Standard rates calculator'!A1" display="Standard rates calculator" xr:uid="{EB1F1F9E-6DD6-4C22-BB0E-DBA96C0A6032}"/>
    <hyperlink ref="B13" location="'Offscale rates calculator'!A1" display="Offscale rates calculator" xr:uid="{5C12ECE5-2DBC-430B-94F4-2FCE3DEBC119}"/>
    <hyperlink ref="B6" location="'Child care Services Scale'!A1" display="Child Care Services Scale" xr:uid="{8952C268-2B1C-43E0-8780-D235FDE23F8D}"/>
  </hyperlinks>
  <pageMargins left="0.7" right="0.7" top="0.75" bottom="0.75" header="0.3" footer="0.3"/>
  <pageSetup paperSize="9" scale="62" fitToHeight="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AE305"/>
  <sheetViews>
    <sheetView showGridLines="0" topLeftCell="A9" zoomScale="78" zoomScaleNormal="78" zoomScaleSheetLayoutView="85" zoomScalePageLayoutView="55" workbookViewId="0">
      <selection activeCell="P14" sqref="P14:P34"/>
    </sheetView>
  </sheetViews>
  <sheetFormatPr defaultColWidth="9.1796875" defaultRowHeight="17.5" x14ac:dyDescent="0.35"/>
  <cols>
    <col min="1" max="1" width="2.1796875" style="25" customWidth="1"/>
    <col min="2" max="2" width="28.1796875" style="25" customWidth="1"/>
    <col min="3" max="3" width="24.26953125" style="25" customWidth="1"/>
    <col min="4" max="4" width="3.7265625" style="25" customWidth="1"/>
    <col min="5" max="8" width="15.54296875" style="25" customWidth="1"/>
    <col min="9" max="9" width="21.26953125" style="25" customWidth="1"/>
    <col min="10" max="10" width="15.54296875" style="25" customWidth="1"/>
    <col min="11" max="11" width="4.81640625" style="25" customWidth="1"/>
    <col min="12" max="15" width="13.1796875" style="25" customWidth="1"/>
    <col min="16" max="16" width="19.1796875" style="25" customWidth="1"/>
    <col min="17" max="17" width="5.453125" style="25" customWidth="1"/>
    <col min="18" max="19" width="15.7265625" style="36" customWidth="1"/>
    <col min="20" max="20" width="21" style="36" customWidth="1"/>
    <col min="21" max="21" width="26.26953125" style="36" customWidth="1"/>
    <col min="22" max="24" width="9.1796875" style="104" customWidth="1"/>
    <col min="25" max="30" width="6.1796875" style="104" customWidth="1"/>
    <col min="31" max="39" width="9.1796875" style="104" customWidth="1"/>
    <col min="40" max="16384" width="9.1796875" style="104"/>
  </cols>
  <sheetData>
    <row r="1" spans="2:31" ht="40" customHeight="1" x14ac:dyDescent="0.35">
      <c r="B1" s="420" t="s">
        <v>166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219"/>
      <c r="R1" s="102"/>
      <c r="S1" s="102"/>
      <c r="T1" s="102"/>
      <c r="U1" s="102"/>
      <c r="V1" s="103"/>
      <c r="W1" s="103"/>
      <c r="X1" s="103"/>
    </row>
    <row r="2" spans="2:31" ht="37.5" customHeight="1" x14ac:dyDescent="0.35">
      <c r="B2" s="421" t="str">
        <f>_xlfn.CONCAT("Effective date(s) of pay award: ",
IF(MAX('Contents &amp; version control'!$D$22:$D$25)=MIN('Contents &amp; version control'!$D$22:$D$25),TEXT('Contents &amp; version control'!$D$22,"D MMMM YYYY")&amp;" (main pay scale), ",
IF(AND('Contents &amp; version control'!$D$22='Contents &amp; version control'!$D$24,'Contents &amp; version control'!$D$23='Contents &amp; version control'!$D$25),TEXT('Contents &amp; version control'!$D$22,"D MMMM YYYY")&amp;" (L1-3 staff), "&amp;TEXT('Contents &amp; version control'!$D$23,"D MMMM YYYY")&amp;" (L4-7 staff), ",
IF(AND('Contents &amp; version control'!$D$22='Contents &amp; version control'!$D$24,'Contents &amp; version control'!$D$22='Contents &amp; version control'!$D$25),TEXT('Contents &amp; version control'!$D$23,"D MMMM YYYY")&amp;" ("&amp;'Contents &amp; version control'!$C$23&amp;"), "&amp;TEXT('Contents &amp; version control'!$D$22, "D MMMM YYYY")&amp;" (Unison and Unite represented staff groups: "&amp;'Contents &amp; version control'!$C$22&amp;", "&amp;'Contents &amp; version control'!$C$24&amp;", "&amp;'Contents &amp; version control'!$C$25&amp;"), ",
IF('Contents &amp; version control'!$D$24='Contents &amp; version control'!$D$25,TEXT('Contents &amp; version control'!$D$23,"D MMMM YYYY")&amp;" ("&amp;'Contents &amp; version control'!$C$23&amp;"), "&amp;TEXT('Contents &amp; version control'!$D$22,"D MMMM YYYY")&amp;" ("&amp;'Contents &amp; version control'!$C$22&amp;"), "&amp;TEXT('Contents &amp; version control'!$D$24,"D MMMM YYYY")&amp;" (all TS staff), ",
TEXT('Contents &amp; version control'!$D$23,"D MMMM YYYY")&amp;" ("&amp;'Contents &amp; version control'!$C$23&amp;"), "&amp;TEXT('Contents &amp; version control'!$D$22,"D MMMM YYYY")&amp;" ("&amp;'Contents &amp; version control'!$C$22&amp;"), "&amp;TEXT('Contents &amp; version control'!$D$24,"D MMMM YYYY")&amp;" ("&amp;'Contents &amp; version control'!$C$24&amp;"), "&amp;TEXT('Contents &amp; version control'!$D$25,"D MMMM YYYY")&amp;" ("&amp;'Contents &amp; version control'!$C$25&amp;"), ")))),
IF('Contents &amp; version control'!$D$27='Contents &amp; version control'!$D$28,TEXT('Contents &amp; version control'!$D$27,"D MMMM YYYY")&amp;" (Clinical staff)",TEXT('Contents &amp; version control'!$D$27,"D MMMM YYYY")&amp;" ("&amp;'Contents &amp; version control'!$C$27&amp;"), "&amp;TEXT('Contents &amp; version control'!$D$28,"D MMMM YYYY")&amp;" ("&amp;'Contents &amp; version control'!$C$28&amp;")"),".")</f>
        <v>Effective date(s) of pay award: 1 November 2024 (L1-3 staff), 1 August 2024 (L4-7 staff), 1 April 2023 (Doctors in training, medical research fellows, clinical lecturers), 1 April 2024 (Clinical consultants).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219"/>
      <c r="R2" s="106"/>
      <c r="S2" s="107"/>
      <c r="T2" s="106"/>
      <c r="U2" s="107"/>
    </row>
    <row r="3" spans="2:31" ht="35.15" customHeight="1" x14ac:dyDescent="0.4">
      <c r="B3" s="422" t="str">
        <f>_xlfn.CONCAT("National Insurance: ",TEXT('Contents &amp; version control'!$D$26,"YYYY"),"-",YEAR('Contents &amp; version control'!$D$26)+1," tax year")</f>
        <v>National Insurance: 2024-2025 tax year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219"/>
      <c r="R3" s="106"/>
      <c r="S3" s="107"/>
      <c r="T3" s="106"/>
      <c r="U3" s="107"/>
    </row>
    <row r="4" spans="2:31" ht="35.15" customHeight="1" x14ac:dyDescent="0.4">
      <c r="B4" s="422" t="str">
        <f>"Document version: "&amp;'Contents &amp; version control'!$B$18</f>
        <v>Document version: 2024.4</v>
      </c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219"/>
      <c r="R4" s="106"/>
      <c r="S4" s="107"/>
      <c r="T4" s="106"/>
      <c r="U4" s="107"/>
    </row>
    <row r="5" spans="2:31" x14ac:dyDescent="0.35">
      <c r="B5" s="121"/>
      <c r="C5" s="206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102"/>
      <c r="S5" s="102"/>
      <c r="T5" s="102"/>
      <c r="U5" s="102"/>
    </row>
    <row r="6" spans="2:31" ht="61.5" customHeight="1" x14ac:dyDescent="0.35">
      <c r="B6" s="425" t="s">
        <v>223</v>
      </c>
      <c r="C6" s="426"/>
      <c r="D6" s="219"/>
      <c r="E6" s="104"/>
      <c r="F6" s="104"/>
      <c r="G6" s="104"/>
      <c r="H6" s="104"/>
      <c r="I6" s="104"/>
      <c r="J6" s="104"/>
      <c r="K6" s="37"/>
      <c r="L6" s="219"/>
      <c r="M6" s="219"/>
      <c r="N6" s="219"/>
      <c r="O6" s="219"/>
      <c r="P6" s="219"/>
      <c r="Q6" s="219"/>
      <c r="R6" s="102"/>
      <c r="S6" s="102"/>
      <c r="T6" s="122"/>
      <c r="U6" s="102"/>
      <c r="AE6" s="108"/>
    </row>
    <row r="7" spans="2:31" ht="18" x14ac:dyDescent="0.35">
      <c r="B7" s="38"/>
      <c r="C7" s="37"/>
      <c r="D7" s="37"/>
      <c r="E7" s="219"/>
      <c r="F7" s="37"/>
      <c r="G7" s="37"/>
      <c r="H7" s="37"/>
      <c r="I7" s="37"/>
      <c r="J7" s="37"/>
      <c r="K7" s="37"/>
      <c r="L7" s="219"/>
      <c r="M7" s="219"/>
      <c r="N7" s="219"/>
      <c r="O7" s="219"/>
      <c r="P7" s="219"/>
      <c r="Q7" s="219"/>
      <c r="R7" s="102"/>
      <c r="S7" s="102"/>
      <c r="T7" s="102"/>
      <c r="U7" s="102"/>
      <c r="AE7" s="108"/>
    </row>
    <row r="8" spans="2:31" ht="60" customHeight="1" x14ac:dyDescent="0.35">
      <c r="B8" s="168" t="s">
        <v>168</v>
      </c>
      <c r="C8" s="167">
        <v>36.25</v>
      </c>
      <c r="D8" s="37"/>
      <c r="E8" s="428" t="s">
        <v>169</v>
      </c>
      <c r="F8" s="429"/>
      <c r="G8" s="429"/>
      <c r="H8" s="429"/>
      <c r="I8" s="429"/>
      <c r="J8" s="430"/>
      <c r="K8" s="37"/>
      <c r="L8" s="219"/>
      <c r="M8" s="219"/>
      <c r="N8" s="219"/>
      <c r="O8" s="219"/>
      <c r="P8" s="219"/>
      <c r="Q8" s="219"/>
      <c r="R8" s="102"/>
      <c r="S8" s="102"/>
      <c r="T8" s="102"/>
      <c r="U8" s="102"/>
      <c r="AE8" s="108"/>
    </row>
    <row r="9" spans="2:31" ht="60" customHeight="1" x14ac:dyDescent="0.35">
      <c r="B9" s="168" t="s">
        <v>170</v>
      </c>
      <c r="C9" s="167">
        <v>36.25</v>
      </c>
      <c r="D9" s="37"/>
      <c r="E9" s="431"/>
      <c r="F9" s="432"/>
      <c r="G9" s="432"/>
      <c r="H9" s="432"/>
      <c r="I9" s="432"/>
      <c r="J9" s="433"/>
      <c r="K9" s="37"/>
      <c r="L9" s="219"/>
      <c r="M9" s="219"/>
      <c r="N9" s="219"/>
      <c r="O9" s="219"/>
      <c r="P9" s="219"/>
      <c r="Q9" s="219"/>
      <c r="R9" s="102"/>
      <c r="S9" s="102"/>
      <c r="T9" s="102"/>
      <c r="U9" s="102"/>
      <c r="AE9" s="108"/>
    </row>
    <row r="10" spans="2:31" ht="20" x14ac:dyDescent="0.35">
      <c r="B10" s="166" t="s">
        <v>171</v>
      </c>
      <c r="C10" s="165">
        <f>ROUND(C8/C9,2)</f>
        <v>1</v>
      </c>
      <c r="D10" s="219"/>
      <c r="E10" s="427" t="str">
        <f>IF(Thresholds_Rates!C12&lt;&gt;0,"Standard Maximum spine point is highlighted in table below","")</f>
        <v/>
      </c>
      <c r="F10" s="427"/>
      <c r="G10" s="427"/>
      <c r="H10" s="427"/>
      <c r="I10" s="427"/>
      <c r="J10" s="427"/>
      <c r="K10" s="219"/>
      <c r="L10" s="104"/>
      <c r="M10" s="104"/>
      <c r="N10" s="104"/>
      <c r="O10" s="104"/>
      <c r="P10" s="104"/>
      <c r="Q10" s="219"/>
      <c r="AE10" s="108"/>
    </row>
    <row r="11" spans="2:31" customFormat="1" ht="60" customHeight="1" x14ac:dyDescent="0.35"/>
    <row r="12" spans="2:31" ht="50.15" customHeight="1" x14ac:dyDescent="0.35">
      <c r="B12" s="434" t="str">
        <f>IF(ISBLANK(VLOOKUP($B$6,Grades!$A:$BZ,5,FALSE)),"",VLOOKUP($B$6,Grades!$A:$BZ,5,FALSE))</f>
        <v/>
      </c>
      <c r="C12" s="435"/>
      <c r="D12" s="219"/>
      <c r="E12" s="436" t="s">
        <v>172</v>
      </c>
      <c r="F12" s="437"/>
      <c r="G12" s="437"/>
      <c r="H12" s="437"/>
      <c r="I12" s="437"/>
      <c r="J12" s="438"/>
      <c r="K12" s="219"/>
      <c r="L12" s="424" t="s">
        <v>173</v>
      </c>
      <c r="M12" s="424"/>
      <c r="N12" s="424"/>
      <c r="O12" s="424"/>
      <c r="P12" s="424"/>
      <c r="Q12" s="219"/>
      <c r="R12" s="423" t="str">
        <f>IF($C$13="Salary","","ADDITIONAL VET ALLOWANCE (AVA)")</f>
        <v/>
      </c>
      <c r="S12" s="423"/>
      <c r="T12" s="423" t="str">
        <f>IF($C$13="Salary","","CLINICAL SUPPLEMENT")</f>
        <v/>
      </c>
      <c r="U12" s="423"/>
      <c r="AE12" s="108"/>
    </row>
    <row r="13" spans="2:31" ht="57" customHeight="1" x14ac:dyDescent="0.35">
      <c r="B13" s="163" t="s">
        <v>174</v>
      </c>
      <c r="C13" s="163" t="str">
        <f>IF(VLOOKUP($B$6,Grades!$A:$BX,67,0)=Thresholds_Rates!$J$12,"Salary + AVA
(for further details scroll right)","Salary")</f>
        <v>Salary</v>
      </c>
      <c r="D13" s="39"/>
      <c r="E13" s="164" t="s">
        <v>175</v>
      </c>
      <c r="F13" s="164" t="s">
        <v>176</v>
      </c>
      <c r="G13" s="164" t="s">
        <v>177</v>
      </c>
      <c r="H13" s="40" t="s">
        <v>178</v>
      </c>
      <c r="I13" s="40" t="s">
        <v>179</v>
      </c>
      <c r="J13" s="164" t="s">
        <v>180</v>
      </c>
      <c r="K13" s="37"/>
      <c r="L13" s="164" t="s">
        <v>181</v>
      </c>
      <c r="M13" s="164" t="s">
        <v>182</v>
      </c>
      <c r="N13" s="164" t="s">
        <v>183</v>
      </c>
      <c r="O13" s="164" t="s">
        <v>184</v>
      </c>
      <c r="P13" s="164" t="s">
        <v>185</v>
      </c>
      <c r="Q13" s="219"/>
      <c r="R13" s="105" t="str">
        <f>IF($C$13="Salary","","AVA %")</f>
        <v/>
      </c>
      <c r="S13" s="105" t="str">
        <f>IF($C$13="Salary","","AVA Amount")</f>
        <v/>
      </c>
      <c r="T13" s="105" t="str">
        <f>IF($C$13="Salary","","Maximum Clinical Supplement %")</f>
        <v/>
      </c>
      <c r="U13" s="105" t="str">
        <f>IF($C$13="Salary","","Maximum Clinical Supplement Amount")</f>
        <v/>
      </c>
      <c r="V13" s="32"/>
    </row>
    <row r="14" spans="2:31" x14ac:dyDescent="0.35">
      <c r="B14" s="36">
        <f ca="1">IFERROR(INDEX('Points Lookup'!$A:$A,MATCH(ROW()-13,'Points Lookup'!$AN:$AN,0)),"")</f>
        <v>10</v>
      </c>
      <c r="C14" s="145">
        <f ca="1">(IF(B14="","",$C$10*SUMIF(INDIRECT("'Points Lookup'!"&amp;VLOOKUP($B$6,Grades!A:BZ,3,FALSE)&amp;":"&amp;VLOOKUP($B$6,Grades!A:BZ,3,FALSE)),B14,INDIRECT("'Points Lookup'!"&amp;VLOOKUP($B$6,Grades!A:BZ,4,FALSE)&amp;":"&amp;VLOOKUP($B$6,Grades!A:Z,4,FALSE)))))</f>
        <v>23563</v>
      </c>
      <c r="D14" s="145"/>
      <c r="E14" s="145" t="str">
        <f ca="1">IF($B14="","",IF(SUMIF(Grades!$A:$A,$B$6,Grades!$BU:$BU)=0,"-",IF(AND(VLOOKUP($B$6,Grades!$A:$BZ,77,FALSE)="YES",B14&lt;Thresholds_Rates!$C$13),"-",$C14*Thresholds_Rates!$F$12)))</f>
        <v>-</v>
      </c>
      <c r="F14" s="145" t="str">
        <f ca="1">IF(B14="","",IF(SUMIF(Grades!$A:$A,$B$6,Grades!$BV:$BV)=0,"-",$C14*Thresholds_Rates!$F$13))</f>
        <v>-</v>
      </c>
      <c r="G14" s="145">
        <f ca="1">IF(B14="","",IF($B$6="Apprenticeship","-",IF(SUMIF(Grades!$A:$A,$B$6,Grades!$BW:$BW)=0,"-",IF(AND(VLOOKUP($B$6,Grades!$A:$BZ,77,FALSE)="YES",B14&gt;Thresholds_Rates!$C$14),"-",$C14*Thresholds_Rates!$F$14))))</f>
        <v>7210.2780000000002</v>
      </c>
      <c r="H14" s="145">
        <f ca="1">IF($B14="","",IF(($C14-(Thresholds_Rates!$C$4*12))&lt;0,0,ROUND(($C14-(Thresholds_Rates!$C$4*12))*Thresholds_Rates!$C$7,0)))</f>
        <v>1996</v>
      </c>
      <c r="I14" s="145">
        <f ca="1">IF(B14="","",(C14*Thresholds_Rates!$C$9))</f>
        <v>117.815</v>
      </c>
      <c r="J14" s="145">
        <f ca="1">IF(B14="","",IF(SUMIF(Grades!$A:$A,$B$6,Grades!$BX:$BX)=0,"-",IF(AND(VLOOKUP($B$6,Grades!$A:$BZ,77,FALSE)="YES",B14&gt;Thresholds_Rates!$C$14),"-",$C14*Thresholds_Rates!$F$15)))</f>
        <v>3298.82</v>
      </c>
      <c r="K14" s="145"/>
      <c r="L14" s="145" t="str">
        <f t="shared" ref="L14:L61" ca="1" si="0">IF(B14="","",IF(E14="-","-",$C14+$H14+E14+I14))</f>
        <v>-</v>
      </c>
      <c r="M14" s="145" t="str">
        <f t="shared" ref="M14:M61" ca="1" si="1">IF(B14="","",IF(F14="-","-",$C14+$H14+F14+I14))</f>
        <v>-</v>
      </c>
      <c r="N14" s="145">
        <f t="shared" ref="N14:N61" ca="1" si="2">IF(B14="","",IF(G14="-","-",$C14+$H14+G14+I14))</f>
        <v>32887.093000000001</v>
      </c>
      <c r="O14" s="145">
        <f t="shared" ref="O14:O61" ca="1" si="3">IF(B14="","",IF(J14="-","-",$C14+$H14+J14+I14))</f>
        <v>28975.634999999998</v>
      </c>
      <c r="P14" s="145">
        <f t="shared" ref="P14:P61" ca="1" si="4">IF(B14="","",C14+H14+I14)</f>
        <v>25676.814999999999</v>
      </c>
      <c r="Q14" s="36"/>
      <c r="R14" s="106" t="str">
        <f ca="1">IF(OR($B14="",$C$13="Salary"),"",SUMIF(INDIRECT("'Points Lookup'!"&amp;VLOOKUP($B$6,Grades!$A:$BZ,3,FALSE)&amp;":"&amp;VLOOKUP($B$6,Grades!$A:$BZ,3,FALSE)),$B14,OFFSET(INDIRECT("'Points Lookup'!"&amp;VLOOKUP($B$6,Grades!$A:$BZ,3,FALSE)&amp;":"&amp;VLOOKUP($B$6,Grades!$A:$BZ,3,FALSE)),0,1)))</f>
        <v/>
      </c>
      <c r="S14" s="107" t="str">
        <f ca="1">IF(OR($B14="",$C$13="Salary"),"",$C14-SUMIF(INDIRECT("'Points Lookup'!"&amp;VLOOKUP($B$6,Grades!$A:$BZ,3,FALSE)&amp;":"&amp;VLOOKUP($B$6,Grades!$A:$BZ,3,FALSE)),$B14,OFFSET(INDIRECT("'Points Lookup'!"&amp;VLOOKUP($B$6,Grades!$A:$BZ,3,FALSE)&amp;":"&amp;VLOOKUP($B$6,Grades!$A:$BZ,3,FALSE)),0,2)))</f>
        <v/>
      </c>
      <c r="T14" s="106" t="str">
        <f ca="1">IF(OR($B14="",$C$13="Salary"),"",SUMIF(INDIRECT("'Points Lookup'!"&amp;VLOOKUP($B$6,Grades!$A:$BZ,3,FALSE)&amp;":"&amp;VLOOKUP($B$6,Grades!$A:$BZ,3,FALSE)),$B14,OFFSET(INDIRECT("'Points Lookup'!"&amp;VLOOKUP($B$6,Grades!$A:$BZ,3,FALSE)&amp;":"&amp;VLOOKUP($B$6,Grades!$A:$BZ,3,FALSE)),0,4)))</f>
        <v/>
      </c>
      <c r="U14" s="107" t="str">
        <f t="shared" ref="U14:U61" ca="1" si="5">IF(OR($B14="",$C$13="Salary"),"",ROUND(C14*T14,0))</f>
        <v/>
      </c>
    </row>
    <row r="15" spans="2:31" ht="18.75" customHeight="1" x14ac:dyDescent="0.35">
      <c r="B15" s="36">
        <f ca="1">IFERROR(INDEX('Points Lookup'!$A:$A,MATCH(ROW()-13,'Points Lookup'!$AN:$AN,0)),"")</f>
        <v>11</v>
      </c>
      <c r="C15" s="145">
        <f ca="1">(IF(B15="","",$C$10*SUMIF(INDIRECT("'Points Lookup'!"&amp;VLOOKUP($B$6,Grades!A:BZ,3,FALSE)&amp;":"&amp;VLOOKUP($B$6,Grades!A:BZ,3,FALSE)),B15,INDIRECT("'Points Lookup'!"&amp;VLOOKUP($B$6,Grades!A:BZ,4,FALSE)&amp;":"&amp;VLOOKUP($B$6,Grades!A:Z,4,FALSE)))))</f>
        <v>23946</v>
      </c>
      <c r="D15" s="145"/>
      <c r="E15" s="145" t="str">
        <f ca="1">IF($B15="","",IF(SUMIF(Grades!$A:$A,$B$6,Grades!$BU:$BU)=0,"-",IF(AND(VLOOKUP($B$6,Grades!$A:$BZ,77,FALSE)="YES",B15&lt;Thresholds_Rates!$C$13),"-",$C15*Thresholds_Rates!$F$12)))</f>
        <v>-</v>
      </c>
      <c r="F15" s="145" t="str">
        <f ca="1">IF(B15="","",IF(SUMIF(Grades!$A:$A,$B$6,Grades!$BV:$BV)=0,"-",$C15*Thresholds_Rates!$F$13))</f>
        <v>-</v>
      </c>
      <c r="G15" s="145">
        <f ca="1">IF(B15="","",IF($B$6="Apprenticeship","-",IF(SUMIF(Grades!$A:$A,$B$6,Grades!$BW:$BW)=0,"-",IF(AND(VLOOKUP($B$6,Grades!$A:$BZ,77,FALSE)="YES",B15&gt;Thresholds_Rates!$C$14),"-",$C15*Thresholds_Rates!$F$14))))</f>
        <v>7327.4759999999997</v>
      </c>
      <c r="H15" s="145">
        <f ca="1">IF($B15="","",IF(($C15-(Thresholds_Rates!$C$4*12))&lt;0,0,ROUND(($C15-(Thresholds_Rates!$C$4*12))*Thresholds_Rates!$C$7,0)))</f>
        <v>2049</v>
      </c>
      <c r="I15" s="145">
        <f ca="1">IF(B15="","",(C15*Thresholds_Rates!$C$9))</f>
        <v>119.73</v>
      </c>
      <c r="J15" s="145">
        <f ca="1">IF(B15="","",IF(SUMIF(Grades!$A:$A,$B$6,Grades!$BX:$BX)=0,"-",IF(AND(VLOOKUP($B$6,Grades!$A:$BZ,77,FALSE)="YES",B15&gt;Thresholds_Rates!$C$14),"-",$C15*Thresholds_Rates!$F$15)))</f>
        <v>3352.4400000000005</v>
      </c>
      <c r="K15" s="145"/>
      <c r="L15" s="145" t="str">
        <f t="shared" ca="1" si="0"/>
        <v>-</v>
      </c>
      <c r="M15" s="145" t="str">
        <f t="shared" ca="1" si="1"/>
        <v>-</v>
      </c>
      <c r="N15" s="145">
        <f t="shared" ca="1" si="2"/>
        <v>33442.206000000006</v>
      </c>
      <c r="O15" s="145">
        <f t="shared" ca="1" si="3"/>
        <v>29467.170000000002</v>
      </c>
      <c r="P15" s="145">
        <f t="shared" ca="1" si="4"/>
        <v>26114.73</v>
      </c>
      <c r="Q15" s="36"/>
      <c r="R15" s="106" t="str">
        <f ca="1">IF(OR($B15="",$C$13="Salary"),"",SUMIF(INDIRECT("'Points Lookup'!"&amp;VLOOKUP($B$6,Grades!$A:$BZ,3,FALSE)&amp;":"&amp;VLOOKUP($B$6,Grades!$A:$BZ,3,FALSE)),$B15,OFFSET(INDIRECT("'Points Lookup'!"&amp;VLOOKUP($B$6,Grades!$A:$BZ,3,FALSE)&amp;":"&amp;VLOOKUP($B$6,Grades!$A:$BZ,3,FALSE)),0,1)))</f>
        <v/>
      </c>
      <c r="S15" s="107" t="str">
        <f ca="1">IF(OR($B15="",$C$13="Salary"),"",$C15-SUMIF(INDIRECT("'Points Lookup'!"&amp;VLOOKUP($B$6,Grades!$A:$BZ,3,FALSE)&amp;":"&amp;VLOOKUP($B$6,Grades!$A:$BZ,3,FALSE)),$B15,OFFSET(INDIRECT("'Points Lookup'!"&amp;VLOOKUP($B$6,Grades!$A:$BZ,3,FALSE)&amp;":"&amp;VLOOKUP($B$6,Grades!$A:$BZ,3,FALSE)),0,2)))</f>
        <v/>
      </c>
      <c r="T15" s="106" t="str">
        <f ca="1">IF(OR($B15="",$C$13="Salary"),"",SUMIF(INDIRECT("'Points Lookup'!"&amp;VLOOKUP($B$6,Grades!$A:$BZ,3,FALSE)&amp;":"&amp;VLOOKUP($B$6,Grades!$A:$BZ,3,FALSE)),$B15,OFFSET(INDIRECT("'Points Lookup'!"&amp;VLOOKUP($B$6,Grades!$A:$BZ,3,FALSE)&amp;":"&amp;VLOOKUP($B$6,Grades!$A:$BZ,3,FALSE)),0,4)))</f>
        <v/>
      </c>
      <c r="U15" s="107" t="str">
        <f t="shared" ca="1" si="5"/>
        <v/>
      </c>
    </row>
    <row r="16" spans="2:31" x14ac:dyDescent="0.35">
      <c r="B16" s="36">
        <f ca="1">IFERROR(INDEX('Points Lookup'!$A:$A,MATCH(ROW()-13,'Points Lookup'!$AN:$AN,0)),"")</f>
        <v>12</v>
      </c>
      <c r="C16" s="145">
        <f ca="1">(IF(B16="","",$C$10*SUMIF(INDIRECT("'Points Lookup'!"&amp;VLOOKUP($B$6,Grades!A:BZ,3,FALSE)&amp;":"&amp;VLOOKUP($B$6,Grades!A:BZ,3,FALSE)),B16,INDIRECT("'Points Lookup'!"&amp;VLOOKUP($B$6,Grades!A:BZ,4,FALSE)&amp;":"&amp;VLOOKUP($B$6,Grades!A:Z,4,FALSE)))))</f>
        <v>24263</v>
      </c>
      <c r="D16" s="145"/>
      <c r="E16" s="145" t="str">
        <f ca="1">IF($B16="","",IF(SUMIF(Grades!$A:$A,$B$6,Grades!$BU:$BU)=0,"-",IF(AND(VLOOKUP($B$6,Grades!$A:$BZ,77,FALSE)="YES",B16&lt;Thresholds_Rates!$C$13),"-",$C16*Thresholds_Rates!$F$12)))</f>
        <v>-</v>
      </c>
      <c r="F16" s="145" t="str">
        <f ca="1">IF(B16="","",IF(SUMIF(Grades!$A:$A,$B$6,Grades!$BV:$BV)=0,"-",$C16*Thresholds_Rates!$F$13))</f>
        <v>-</v>
      </c>
      <c r="G16" s="145">
        <f ca="1">IF(B16="","",IF($B$6="Apprenticeship","-",IF(SUMIF(Grades!$A:$A,$B$6,Grades!$BW:$BW)=0,"-",IF(AND(VLOOKUP($B$6,Grades!$A:$BZ,77,FALSE)="YES",B16&gt;Thresholds_Rates!$C$14),"-",$C16*Thresholds_Rates!$F$14))))</f>
        <v>7424.4780000000001</v>
      </c>
      <c r="H16" s="145">
        <f ca="1">IF($B16="","",IF(($C16-(Thresholds_Rates!$C$4*12))&lt;0,0,ROUND(($C16-(Thresholds_Rates!$C$4*12))*Thresholds_Rates!$C$7,0)))</f>
        <v>2093</v>
      </c>
      <c r="I16" s="145">
        <f ca="1">IF(B16="","",(C16*Thresholds_Rates!$C$9))</f>
        <v>121.315</v>
      </c>
      <c r="J16" s="145">
        <f ca="1">IF(B16="","",IF(SUMIF(Grades!$A:$A,$B$6,Grades!$BX:$BX)=0,"-",IF(AND(VLOOKUP($B$6,Grades!$A:$BZ,77,FALSE)="YES",B16&gt;Thresholds_Rates!$C$14),"-",$C16*Thresholds_Rates!$F$15)))</f>
        <v>3396.82</v>
      </c>
      <c r="K16" s="145"/>
      <c r="L16" s="145" t="str">
        <f t="shared" ca="1" si="0"/>
        <v>-</v>
      </c>
      <c r="M16" s="145" t="str">
        <f t="shared" ca="1" si="1"/>
        <v>-</v>
      </c>
      <c r="N16" s="145">
        <f t="shared" ca="1" si="2"/>
        <v>33901.793000000005</v>
      </c>
      <c r="O16" s="145">
        <f t="shared" ca="1" si="3"/>
        <v>29874.134999999998</v>
      </c>
      <c r="P16" s="145">
        <f t="shared" ca="1" si="4"/>
        <v>26477.314999999999</v>
      </c>
      <c r="Q16" s="219"/>
      <c r="R16" s="106" t="str">
        <f ca="1">IF(OR($B16="",$C$13="Salary"),"",SUMIF(INDIRECT("'Points Lookup'!"&amp;VLOOKUP($B$6,Grades!$A:$BZ,3,FALSE)&amp;":"&amp;VLOOKUP($B$6,Grades!$A:$BZ,3,FALSE)),$B16,OFFSET(INDIRECT("'Points Lookup'!"&amp;VLOOKUP($B$6,Grades!$A:$BZ,3,FALSE)&amp;":"&amp;VLOOKUP($B$6,Grades!$A:$BZ,3,FALSE)),0,1)))</f>
        <v/>
      </c>
      <c r="S16" s="107" t="str">
        <f ca="1">IF(OR($B16="",$C$13="Salary"),"",$C16-SUMIF(INDIRECT("'Points Lookup'!"&amp;VLOOKUP($B$6,Grades!$A:$BZ,3,FALSE)&amp;":"&amp;VLOOKUP($B$6,Grades!$A:$BZ,3,FALSE)),$B16,OFFSET(INDIRECT("'Points Lookup'!"&amp;VLOOKUP($B$6,Grades!$A:$BZ,3,FALSE)&amp;":"&amp;VLOOKUP($B$6,Grades!$A:$BZ,3,FALSE)),0,2)))</f>
        <v/>
      </c>
      <c r="T16" s="106" t="str">
        <f ca="1">IF(OR($B16="",$C$13="Salary"),"",SUMIF(INDIRECT("'Points Lookup'!"&amp;VLOOKUP($B$6,Grades!$A:$BZ,3,FALSE)&amp;":"&amp;VLOOKUP($B$6,Grades!$A:$BZ,3,FALSE)),$B16,OFFSET(INDIRECT("'Points Lookup'!"&amp;VLOOKUP($B$6,Grades!$A:$BZ,3,FALSE)&amp;":"&amp;VLOOKUP($B$6,Grades!$A:$BZ,3,FALSE)),0,4)))</f>
        <v/>
      </c>
      <c r="U16" s="107" t="str">
        <f t="shared" ca="1" si="5"/>
        <v/>
      </c>
    </row>
    <row r="17" spans="2:21" x14ac:dyDescent="0.35">
      <c r="B17" s="36">
        <f ca="1">IFERROR(INDEX('Points Lookup'!$A:$A,MATCH(ROW()-13,'Points Lookup'!$AN:$AN,0)),"")</f>
        <v>13</v>
      </c>
      <c r="C17" s="145">
        <f ca="1">(IF(B17="","",$C$10*SUMIF(INDIRECT("'Points Lookup'!"&amp;VLOOKUP($B$6,Grades!A:BZ,3,FALSE)&amp;":"&amp;VLOOKUP($B$6,Grades!A:BZ,3,FALSE)),B17,INDIRECT("'Points Lookup'!"&amp;VLOOKUP($B$6,Grades!A:BZ,4,FALSE)&amp;":"&amp;VLOOKUP($B$6,Grades!A:Z,4,FALSE)))))</f>
        <v>24727</v>
      </c>
      <c r="D17" s="145"/>
      <c r="E17" s="145" t="str">
        <f ca="1">IF($B17="","",IF(SUMIF(Grades!$A:$A,$B$6,Grades!$BU:$BU)=0,"-",IF(AND(VLOOKUP($B$6,Grades!$A:$BZ,77,FALSE)="YES",B17&lt;Thresholds_Rates!$C$13),"-",$C17*Thresholds_Rates!$F$12)))</f>
        <v>-</v>
      </c>
      <c r="F17" s="145" t="str">
        <f ca="1">IF(B17="","",IF(SUMIF(Grades!$A:$A,$B$6,Grades!$BV:$BV)=0,"-",$C17*Thresholds_Rates!$F$13))</f>
        <v>-</v>
      </c>
      <c r="G17" s="145">
        <f ca="1">IF(B17="","",IF($B$6="Apprenticeship","-",IF(SUMIF(Grades!$A:$A,$B$6,Grades!$BW:$BW)=0,"-",IF(AND(VLOOKUP($B$6,Grades!$A:$BZ,77,FALSE)="YES",B17&gt;Thresholds_Rates!$C$14),"-",$C17*Thresholds_Rates!$F$14))))</f>
        <v>7566.4619999999995</v>
      </c>
      <c r="H17" s="145">
        <f ca="1">IF($B17="","",IF(($C17-(Thresholds_Rates!$C$4*12))&lt;0,0,ROUND(($C17-(Thresholds_Rates!$C$4*12))*Thresholds_Rates!$C$7,0)))</f>
        <v>2157</v>
      </c>
      <c r="I17" s="145">
        <f ca="1">IF(B17="","",(C17*Thresholds_Rates!$C$9))</f>
        <v>123.63500000000001</v>
      </c>
      <c r="J17" s="145">
        <f ca="1">IF(B17="","",IF(SUMIF(Grades!$A:$A,$B$6,Grades!$BX:$BX)=0,"-",IF(AND(VLOOKUP($B$6,Grades!$A:$BZ,77,FALSE)="YES",B17&gt;Thresholds_Rates!$C$14),"-",$C17*Thresholds_Rates!$F$15)))</f>
        <v>3461.78</v>
      </c>
      <c r="K17" s="145"/>
      <c r="L17" s="145" t="str">
        <f t="shared" ca="1" si="0"/>
        <v>-</v>
      </c>
      <c r="M17" s="145" t="str">
        <f t="shared" ca="1" si="1"/>
        <v>-</v>
      </c>
      <c r="N17" s="145">
        <f t="shared" ca="1" si="2"/>
        <v>34574.097000000002</v>
      </c>
      <c r="O17" s="145">
        <f t="shared" ca="1" si="3"/>
        <v>30469.414999999997</v>
      </c>
      <c r="P17" s="145">
        <f t="shared" ca="1" si="4"/>
        <v>27007.634999999998</v>
      </c>
      <c r="Q17" s="219"/>
      <c r="R17" s="106" t="str">
        <f ca="1">IF(OR($B17="",$C$13="Salary"),"",SUMIF(INDIRECT("'Points Lookup'!"&amp;VLOOKUP($B$6,Grades!$A:$BZ,3,FALSE)&amp;":"&amp;VLOOKUP($B$6,Grades!$A:$BZ,3,FALSE)),$B17,OFFSET(INDIRECT("'Points Lookup'!"&amp;VLOOKUP($B$6,Grades!$A:$BZ,3,FALSE)&amp;":"&amp;VLOOKUP($B$6,Grades!$A:$BZ,3,FALSE)),0,1)))</f>
        <v/>
      </c>
      <c r="S17" s="107" t="str">
        <f ca="1">IF(OR($B17="",$C$13="Salary"),"",$C17-SUMIF(INDIRECT("'Points Lookup'!"&amp;VLOOKUP($B$6,Grades!$A:$BZ,3,FALSE)&amp;":"&amp;VLOOKUP($B$6,Grades!$A:$BZ,3,FALSE)),$B17,OFFSET(INDIRECT("'Points Lookup'!"&amp;VLOOKUP($B$6,Grades!$A:$BZ,3,FALSE)&amp;":"&amp;VLOOKUP($B$6,Grades!$A:$BZ,3,FALSE)),0,2)))</f>
        <v/>
      </c>
      <c r="T17" s="106" t="str">
        <f ca="1">IF(OR($B17="",$C$13="Salary"),"",SUMIF(INDIRECT("'Points Lookup'!"&amp;VLOOKUP($B$6,Grades!$A:$BZ,3,FALSE)&amp;":"&amp;VLOOKUP($B$6,Grades!$A:$BZ,3,FALSE)),$B17,OFFSET(INDIRECT("'Points Lookup'!"&amp;VLOOKUP($B$6,Grades!$A:$BZ,3,FALSE)&amp;":"&amp;VLOOKUP($B$6,Grades!$A:$BZ,3,FALSE)),0,4)))</f>
        <v/>
      </c>
      <c r="U17" s="107" t="str">
        <f t="shared" ca="1" si="5"/>
        <v/>
      </c>
    </row>
    <row r="18" spans="2:21" x14ac:dyDescent="0.35">
      <c r="B18" s="36">
        <f ca="1">IFERROR(INDEX('Points Lookup'!$A:$A,MATCH(ROW()-13,'Points Lookup'!$AN:$AN,0)),"")</f>
        <v>14</v>
      </c>
      <c r="C18" s="145">
        <f ca="1">(IF(B18="","",$C$10*SUMIF(INDIRECT("'Points Lookup'!"&amp;VLOOKUP($B$6,Grades!A:BZ,3,FALSE)&amp;":"&amp;VLOOKUP($B$6,Grades!A:BZ,3,FALSE)),B18,INDIRECT("'Points Lookup'!"&amp;VLOOKUP($B$6,Grades!A:BZ,4,FALSE)&amp;":"&amp;VLOOKUP($B$6,Grades!A:Z,4,FALSE)))))</f>
        <v>25239</v>
      </c>
      <c r="D18" s="145"/>
      <c r="E18" s="145" t="str">
        <f ca="1">IF($B18="","",IF(SUMIF(Grades!$A:$A,$B$6,Grades!$BU:$BU)=0,"-",IF(AND(VLOOKUP($B$6,Grades!$A:$BZ,77,FALSE)="YES",B18&lt;Thresholds_Rates!$C$13),"-",$C18*Thresholds_Rates!$F$12)))</f>
        <v>-</v>
      </c>
      <c r="F18" s="145" t="str">
        <f ca="1">IF(B18="","",IF(SUMIF(Grades!$A:$A,$B$6,Grades!$BV:$BV)=0,"-",$C18*Thresholds_Rates!$F$13))</f>
        <v>-</v>
      </c>
      <c r="G18" s="145">
        <f ca="1">IF(B18="","",IF($B$6="Apprenticeship","-",IF(SUMIF(Grades!$A:$A,$B$6,Grades!$BW:$BW)=0,"-",IF(AND(VLOOKUP($B$6,Grades!$A:$BZ,77,FALSE)="YES",B18&gt;Thresholds_Rates!$C$14),"-",$C18*Thresholds_Rates!$F$14))))</f>
        <v>7723.134</v>
      </c>
      <c r="H18" s="145">
        <f ca="1">IF($B18="","",IF(($C18-(Thresholds_Rates!$C$4*12))&lt;0,0,ROUND(($C18-(Thresholds_Rates!$C$4*12))*Thresholds_Rates!$C$7,0)))</f>
        <v>2228</v>
      </c>
      <c r="I18" s="145">
        <f ca="1">IF(B18="","",(C18*Thresholds_Rates!$C$9))</f>
        <v>126.19500000000001</v>
      </c>
      <c r="J18" s="145">
        <f ca="1">IF(B18="","",IF(SUMIF(Grades!$A:$A,$B$6,Grades!$BX:$BX)=0,"-",IF(AND(VLOOKUP($B$6,Grades!$A:$BZ,77,FALSE)="YES",B18&gt;Thresholds_Rates!$C$14),"-",$C18*Thresholds_Rates!$F$15)))</f>
        <v>3533.4600000000005</v>
      </c>
      <c r="K18" s="145"/>
      <c r="L18" s="145" t="str">
        <f t="shared" ca="1" si="0"/>
        <v>-</v>
      </c>
      <c r="M18" s="145" t="str">
        <f t="shared" ca="1" si="1"/>
        <v>-</v>
      </c>
      <c r="N18" s="145">
        <f t="shared" ca="1" si="2"/>
        <v>35316.328999999998</v>
      </c>
      <c r="O18" s="145">
        <f t="shared" ca="1" si="3"/>
        <v>31126.654999999999</v>
      </c>
      <c r="P18" s="145">
        <f t="shared" ca="1" si="4"/>
        <v>27593.195</v>
      </c>
      <c r="Q18" s="219"/>
      <c r="R18" s="106" t="str">
        <f ca="1">IF(OR($B18="",$C$13="Salary"),"",SUMIF(INDIRECT("'Points Lookup'!"&amp;VLOOKUP($B$6,Grades!$A:$BZ,3,FALSE)&amp;":"&amp;VLOOKUP($B$6,Grades!$A:$BZ,3,FALSE)),$B18,OFFSET(INDIRECT("'Points Lookup'!"&amp;VLOOKUP($B$6,Grades!$A:$BZ,3,FALSE)&amp;":"&amp;VLOOKUP($B$6,Grades!$A:$BZ,3,FALSE)),0,1)))</f>
        <v/>
      </c>
      <c r="S18" s="107" t="str">
        <f ca="1">IF(OR($B18="",$C$13="Salary"),"",$C18-SUMIF(INDIRECT("'Points Lookup'!"&amp;VLOOKUP($B$6,Grades!$A:$BZ,3,FALSE)&amp;":"&amp;VLOOKUP($B$6,Grades!$A:$BZ,3,FALSE)),$B18,OFFSET(INDIRECT("'Points Lookup'!"&amp;VLOOKUP($B$6,Grades!$A:$BZ,3,FALSE)&amp;":"&amp;VLOOKUP($B$6,Grades!$A:$BZ,3,FALSE)),0,2)))</f>
        <v/>
      </c>
      <c r="T18" s="106" t="str">
        <f ca="1">IF(OR($B18="",$C$13="Salary"),"",SUMIF(INDIRECT("'Points Lookup'!"&amp;VLOOKUP($B$6,Grades!$A:$BZ,3,FALSE)&amp;":"&amp;VLOOKUP($B$6,Grades!$A:$BZ,3,FALSE)),$B18,OFFSET(INDIRECT("'Points Lookup'!"&amp;VLOOKUP($B$6,Grades!$A:$BZ,3,FALSE)&amp;":"&amp;VLOOKUP($B$6,Grades!$A:$BZ,3,FALSE)),0,4)))</f>
        <v/>
      </c>
      <c r="U18" s="107" t="str">
        <f t="shared" ca="1" si="5"/>
        <v/>
      </c>
    </row>
    <row r="19" spans="2:21" x14ac:dyDescent="0.35">
      <c r="B19" s="36">
        <f ca="1">IFERROR(INDEX('Points Lookup'!$A:$A,MATCH(ROW()-13,'Points Lookup'!$AN:$AN,0)),"")</f>
        <v>15</v>
      </c>
      <c r="C19" s="145">
        <f ca="1">(IF(B19="","",$C$10*SUMIF(INDIRECT("'Points Lookup'!"&amp;VLOOKUP($B$6,Grades!A:BZ,3,FALSE)&amp;":"&amp;VLOOKUP($B$6,Grades!A:BZ,3,FALSE)),B19,INDIRECT("'Points Lookup'!"&amp;VLOOKUP($B$6,Grades!A:BZ,4,FALSE)&amp;":"&amp;VLOOKUP($B$6,Grades!A:Z,4,FALSE)))))</f>
        <v>25714</v>
      </c>
      <c r="D19" s="145"/>
      <c r="E19" s="145" t="str">
        <f ca="1">IF($B19="","",IF(SUMIF(Grades!$A:$A,$B$6,Grades!$BU:$BU)=0,"-",IF(AND(VLOOKUP($B$6,Grades!$A:$BZ,77,FALSE)="YES",B19&lt;Thresholds_Rates!$C$13),"-",$C19*Thresholds_Rates!$F$12)))</f>
        <v>-</v>
      </c>
      <c r="F19" s="145" t="str">
        <f ca="1">IF(B19="","",IF(SUMIF(Grades!$A:$A,$B$6,Grades!$BV:$BV)=0,"-",$C19*Thresholds_Rates!$F$13))</f>
        <v>-</v>
      </c>
      <c r="G19" s="145">
        <f ca="1">IF(B19="","",IF($B$6="Apprenticeship","-",IF(SUMIF(Grades!$A:$A,$B$6,Grades!$BW:$BW)=0,"-",IF(AND(VLOOKUP($B$6,Grades!$A:$BZ,77,FALSE)="YES",B19&gt;Thresholds_Rates!$C$14),"-",$C19*Thresholds_Rates!$F$14))))</f>
        <v>7868.4839999999995</v>
      </c>
      <c r="H19" s="145">
        <f ca="1">IF($B19="","",IF(($C19-(Thresholds_Rates!$C$4*12))&lt;0,0,ROUND(($C19-(Thresholds_Rates!$C$4*12))*Thresholds_Rates!$C$7,0)))</f>
        <v>2293</v>
      </c>
      <c r="I19" s="145">
        <f ca="1">IF(B19="","",(C19*Thresholds_Rates!$C$9))</f>
        <v>128.57</v>
      </c>
      <c r="J19" s="145">
        <f ca="1">IF(B19="","",IF(SUMIF(Grades!$A:$A,$B$6,Grades!$BX:$BX)=0,"-",IF(AND(VLOOKUP($B$6,Grades!$A:$BZ,77,FALSE)="YES",B19&gt;Thresholds_Rates!$C$14),"-",$C19*Thresholds_Rates!$F$15)))</f>
        <v>3599.9600000000005</v>
      </c>
      <c r="K19" s="145"/>
      <c r="L19" s="145" t="str">
        <f t="shared" ca="1" si="0"/>
        <v>-</v>
      </c>
      <c r="M19" s="145" t="str">
        <f t="shared" ca="1" si="1"/>
        <v>-</v>
      </c>
      <c r="N19" s="145">
        <f t="shared" ca="1" si="2"/>
        <v>36004.053999999996</v>
      </c>
      <c r="O19" s="145">
        <f t="shared" ca="1" si="3"/>
        <v>31735.53</v>
      </c>
      <c r="P19" s="145">
        <f t="shared" ca="1" si="4"/>
        <v>28135.57</v>
      </c>
      <c r="Q19" s="219"/>
      <c r="R19" s="106" t="str">
        <f ca="1">IF(OR($B19="",$C$13="Salary"),"",SUMIF(INDIRECT("'Points Lookup'!"&amp;VLOOKUP($B$6,Grades!$A:$BZ,3,FALSE)&amp;":"&amp;VLOOKUP($B$6,Grades!$A:$BZ,3,FALSE)),$B19,OFFSET(INDIRECT("'Points Lookup'!"&amp;VLOOKUP($B$6,Grades!$A:$BZ,3,FALSE)&amp;":"&amp;VLOOKUP($B$6,Grades!$A:$BZ,3,FALSE)),0,1)))</f>
        <v/>
      </c>
      <c r="S19" s="107" t="str">
        <f ca="1">IF(OR($B19="",$C$13="Salary"),"",$C19-SUMIF(INDIRECT("'Points Lookup'!"&amp;VLOOKUP($B$6,Grades!$A:$BZ,3,FALSE)&amp;":"&amp;VLOOKUP($B$6,Grades!$A:$BZ,3,FALSE)),$B19,OFFSET(INDIRECT("'Points Lookup'!"&amp;VLOOKUP($B$6,Grades!$A:$BZ,3,FALSE)&amp;":"&amp;VLOOKUP($B$6,Grades!$A:$BZ,3,FALSE)),0,2)))</f>
        <v/>
      </c>
      <c r="T19" s="106" t="str">
        <f ca="1">IF(OR($B19="",$C$13="Salary"),"",SUMIF(INDIRECT("'Points Lookup'!"&amp;VLOOKUP($B$6,Grades!$A:$BZ,3,FALSE)&amp;":"&amp;VLOOKUP($B$6,Grades!$A:$BZ,3,FALSE)),$B19,OFFSET(INDIRECT("'Points Lookup'!"&amp;VLOOKUP($B$6,Grades!$A:$BZ,3,FALSE)&amp;":"&amp;VLOOKUP($B$6,Grades!$A:$BZ,3,FALSE)),0,4)))</f>
        <v/>
      </c>
      <c r="U19" s="107" t="str">
        <f t="shared" ca="1" si="5"/>
        <v/>
      </c>
    </row>
    <row r="20" spans="2:21" x14ac:dyDescent="0.35">
      <c r="B20" s="36">
        <f ca="1">IFERROR(INDEX('Points Lookup'!$A:$A,MATCH(ROW()-13,'Points Lookup'!$AN:$AN,0)),"")</f>
        <v>16</v>
      </c>
      <c r="C20" s="145">
        <f ca="1">(IF(B20="","",$C$10*SUMIF(INDIRECT("'Points Lookup'!"&amp;VLOOKUP($B$6,Grades!A:BZ,3,FALSE)&amp;":"&amp;VLOOKUP($B$6,Grades!A:BZ,3,FALSE)),B20,INDIRECT("'Points Lookup'!"&amp;VLOOKUP($B$6,Grades!A:BZ,4,FALSE)&amp;":"&amp;VLOOKUP($B$6,Grades!A:Z,4,FALSE)))))</f>
        <v>26349</v>
      </c>
      <c r="D20" s="145"/>
      <c r="E20" s="145" t="str">
        <f ca="1">IF($B20="","",IF(SUMIF(Grades!$A:$A,$B$6,Grades!$BU:$BU)=0,"-",IF(AND(VLOOKUP($B$6,Grades!$A:$BZ,77,FALSE)="YES",B20&lt;Thresholds_Rates!$C$13),"-",$C20*Thresholds_Rates!$F$12)))</f>
        <v>-</v>
      </c>
      <c r="F20" s="145" t="str">
        <f ca="1">IF(B20="","",IF(SUMIF(Grades!$A:$A,$B$6,Grades!$BV:$BV)=0,"-",$C20*Thresholds_Rates!$F$13))</f>
        <v>-</v>
      </c>
      <c r="G20" s="145">
        <f ca="1">IF(B20="","",IF($B$6="Apprenticeship","-",IF(SUMIF(Grades!$A:$A,$B$6,Grades!$BW:$BW)=0,"-",IF(AND(VLOOKUP($B$6,Grades!$A:$BZ,77,FALSE)="YES",B20&gt;Thresholds_Rates!$C$14),"-",$C20*Thresholds_Rates!$F$14))))</f>
        <v>8062.7939999999999</v>
      </c>
      <c r="H20" s="145">
        <f ca="1">IF($B20="","",IF(($C20-(Thresholds_Rates!$C$4*12))&lt;0,0,ROUND(($C20-(Thresholds_Rates!$C$4*12))*Thresholds_Rates!$C$7,0)))</f>
        <v>2381</v>
      </c>
      <c r="I20" s="145">
        <f ca="1">IF(B20="","",(C20*Thresholds_Rates!$C$9))</f>
        <v>131.745</v>
      </c>
      <c r="J20" s="145">
        <f ca="1">IF(B20="","",IF(SUMIF(Grades!$A:$A,$B$6,Grades!$BX:$BX)=0,"-",IF(AND(VLOOKUP($B$6,Grades!$A:$BZ,77,FALSE)="YES",B20&gt;Thresholds_Rates!$C$14),"-",$C20*Thresholds_Rates!$F$15)))</f>
        <v>3688.86</v>
      </c>
      <c r="K20" s="145"/>
      <c r="L20" s="145" t="str">
        <f t="shared" ca="1" si="0"/>
        <v>-</v>
      </c>
      <c r="M20" s="145" t="str">
        <f t="shared" ca="1" si="1"/>
        <v>-</v>
      </c>
      <c r="N20" s="145">
        <f t="shared" ca="1" si="2"/>
        <v>36924.539000000004</v>
      </c>
      <c r="O20" s="145">
        <f t="shared" ca="1" si="3"/>
        <v>32550.605</v>
      </c>
      <c r="P20" s="145">
        <f t="shared" ca="1" si="4"/>
        <v>28861.744999999999</v>
      </c>
      <c r="Q20" s="219"/>
      <c r="R20" s="106" t="str">
        <f ca="1">IF(OR($B20="",$C$13="Salary"),"",SUMIF(INDIRECT("'Points Lookup'!"&amp;VLOOKUP($B$6,Grades!$A:$BZ,3,FALSE)&amp;":"&amp;VLOOKUP($B$6,Grades!$A:$BZ,3,FALSE)),$B20,OFFSET(INDIRECT("'Points Lookup'!"&amp;VLOOKUP($B$6,Grades!$A:$BZ,3,FALSE)&amp;":"&amp;VLOOKUP($B$6,Grades!$A:$BZ,3,FALSE)),0,1)))</f>
        <v/>
      </c>
      <c r="S20" s="107" t="str">
        <f ca="1">IF(OR($B20="",$C$13="Salary"),"",$C20-SUMIF(INDIRECT("'Points Lookup'!"&amp;VLOOKUP($B$6,Grades!$A:$BZ,3,FALSE)&amp;":"&amp;VLOOKUP($B$6,Grades!$A:$BZ,3,FALSE)),$B20,OFFSET(INDIRECT("'Points Lookup'!"&amp;VLOOKUP($B$6,Grades!$A:$BZ,3,FALSE)&amp;":"&amp;VLOOKUP($B$6,Grades!$A:$BZ,3,FALSE)),0,2)))</f>
        <v/>
      </c>
      <c r="T20" s="106" t="str">
        <f ca="1">IF(OR($B20="",$C$13="Salary"),"",SUMIF(INDIRECT("'Points Lookup'!"&amp;VLOOKUP($B$6,Grades!$A:$BZ,3,FALSE)&amp;":"&amp;VLOOKUP($B$6,Grades!$A:$BZ,3,FALSE)),$B20,OFFSET(INDIRECT("'Points Lookup'!"&amp;VLOOKUP($B$6,Grades!$A:$BZ,3,FALSE)&amp;":"&amp;VLOOKUP($B$6,Grades!$A:$BZ,3,FALSE)),0,4)))</f>
        <v/>
      </c>
      <c r="U20" s="107" t="str">
        <f t="shared" ca="1" si="5"/>
        <v/>
      </c>
    </row>
    <row r="21" spans="2:21" x14ac:dyDescent="0.35">
      <c r="B21" s="36">
        <f ca="1">IFERROR(INDEX('Points Lookup'!$A:$A,MATCH(ROW()-13,'Points Lookup'!$AN:$AN,0)),"")</f>
        <v>17</v>
      </c>
      <c r="C21" s="145">
        <f ca="1">(IF(B21="","",$C$10*SUMIF(INDIRECT("'Points Lookup'!"&amp;VLOOKUP($B$6,Grades!A:BZ,3,FALSE)&amp;":"&amp;VLOOKUP($B$6,Grades!A:BZ,3,FALSE)),B21,INDIRECT("'Points Lookup'!"&amp;VLOOKUP($B$6,Grades!A:BZ,4,FALSE)&amp;":"&amp;VLOOKUP($B$6,Grades!A:Z,4,FALSE)))))</f>
        <v>26983</v>
      </c>
      <c r="D21" s="145"/>
      <c r="E21" s="145" t="str">
        <f ca="1">IF($B21="","",IF(SUMIF(Grades!$A:$A,$B$6,Grades!$BU:$BU)=0,"-",IF(AND(VLOOKUP($B$6,Grades!$A:$BZ,77,FALSE)="YES",B21&lt;Thresholds_Rates!$C$13),"-",$C21*Thresholds_Rates!$F$12)))</f>
        <v>-</v>
      </c>
      <c r="F21" s="145" t="str">
        <f ca="1">IF(B21="","",IF(SUMIF(Grades!$A:$A,$B$6,Grades!$BV:$BV)=0,"-",$C21*Thresholds_Rates!$F$13))</f>
        <v>-</v>
      </c>
      <c r="G21" s="145">
        <f ca="1">IF(B21="","",IF($B$6="Apprenticeship","-",IF(SUMIF(Grades!$A:$A,$B$6,Grades!$BW:$BW)=0,"-",IF(AND(VLOOKUP($B$6,Grades!$A:$BZ,77,FALSE)="YES",B21&gt;Thresholds_Rates!$C$14),"-",$C21*Thresholds_Rates!$F$14))))</f>
        <v>8256.7980000000007</v>
      </c>
      <c r="H21" s="145">
        <f ca="1">IF($B21="","",IF(($C21-(Thresholds_Rates!$C$4*12))&lt;0,0,ROUND(($C21-(Thresholds_Rates!$C$4*12))*Thresholds_Rates!$C$7,0)))</f>
        <v>2468</v>
      </c>
      <c r="I21" s="145">
        <f ca="1">IF(B21="","",(C21*Thresholds_Rates!$C$9))</f>
        <v>134.91499999999999</v>
      </c>
      <c r="J21" s="145">
        <f ca="1">IF(B21="","",IF(SUMIF(Grades!$A:$A,$B$6,Grades!$BX:$BX)=0,"-",IF(AND(VLOOKUP($B$6,Grades!$A:$BZ,77,FALSE)="YES",B21&gt;Thresholds_Rates!$C$14),"-",$C21*Thresholds_Rates!$F$15)))</f>
        <v>3777.6200000000003</v>
      </c>
      <c r="K21" s="145"/>
      <c r="L21" s="145" t="str">
        <f t="shared" ca="1" si="0"/>
        <v>-</v>
      </c>
      <c r="M21" s="145" t="str">
        <f t="shared" ca="1" si="1"/>
        <v>-</v>
      </c>
      <c r="N21" s="145">
        <f t="shared" ca="1" si="2"/>
        <v>37842.713000000003</v>
      </c>
      <c r="O21" s="145">
        <f t="shared" ca="1" si="3"/>
        <v>33363.535000000003</v>
      </c>
      <c r="P21" s="145">
        <f t="shared" ca="1" si="4"/>
        <v>29585.915000000001</v>
      </c>
      <c r="Q21" s="219"/>
      <c r="R21" s="106" t="str">
        <f ca="1">IF(OR($B21="",$C$13="Salary"),"",SUMIF(INDIRECT("'Points Lookup'!"&amp;VLOOKUP($B$6,Grades!$A:$BZ,3,FALSE)&amp;":"&amp;VLOOKUP($B$6,Grades!$A:$BZ,3,FALSE)),$B21,OFFSET(INDIRECT("'Points Lookup'!"&amp;VLOOKUP($B$6,Grades!$A:$BZ,3,FALSE)&amp;":"&amp;VLOOKUP($B$6,Grades!$A:$BZ,3,FALSE)),0,1)))</f>
        <v/>
      </c>
      <c r="S21" s="107" t="str">
        <f ca="1">IF(OR($B21="",$C$13="Salary"),"",$C21-SUMIF(INDIRECT("'Points Lookup'!"&amp;VLOOKUP($B$6,Grades!$A:$BZ,3,FALSE)&amp;":"&amp;VLOOKUP($B$6,Grades!$A:$BZ,3,FALSE)),$B21,OFFSET(INDIRECT("'Points Lookup'!"&amp;VLOOKUP($B$6,Grades!$A:$BZ,3,FALSE)&amp;":"&amp;VLOOKUP($B$6,Grades!$A:$BZ,3,FALSE)),0,2)))</f>
        <v/>
      </c>
      <c r="T21" s="106" t="str">
        <f ca="1">IF(OR($B21="",$C$13="Salary"),"",SUMIF(INDIRECT("'Points Lookup'!"&amp;VLOOKUP($B$6,Grades!$A:$BZ,3,FALSE)&amp;":"&amp;VLOOKUP($B$6,Grades!$A:$BZ,3,FALSE)),$B21,OFFSET(INDIRECT("'Points Lookup'!"&amp;VLOOKUP($B$6,Grades!$A:$BZ,3,FALSE)&amp;":"&amp;VLOOKUP($B$6,Grades!$A:$BZ,3,FALSE)),0,4)))</f>
        <v/>
      </c>
      <c r="U21" s="107" t="str">
        <f t="shared" ca="1" si="5"/>
        <v/>
      </c>
    </row>
    <row r="22" spans="2:21" x14ac:dyDescent="0.35">
      <c r="B22" s="36">
        <f ca="1">IFERROR(INDEX('Points Lookup'!$A:$A,MATCH(ROW()-13,'Points Lookup'!$AN:$AN,0)),"")</f>
        <v>18</v>
      </c>
      <c r="C22" s="145">
        <f ca="1">(IF(B22="","",$C$10*SUMIF(INDIRECT("'Points Lookup'!"&amp;VLOOKUP($B$6,Grades!A:BZ,3,FALSE)&amp;":"&amp;VLOOKUP($B$6,Grades!A:BZ,3,FALSE)),B22,INDIRECT("'Points Lookup'!"&amp;VLOOKUP($B$6,Grades!A:BZ,4,FALSE)&amp;":"&amp;VLOOKUP($B$6,Grades!A:Z,4,FALSE)))))</f>
        <v>27720</v>
      </c>
      <c r="D22" s="145"/>
      <c r="E22" s="145" t="str">
        <f ca="1">IF($B22="","",IF(SUMIF(Grades!$A:$A,$B$6,Grades!$BU:$BU)=0,"-",IF(AND(VLOOKUP($B$6,Grades!$A:$BZ,77,FALSE)="YES",B22&lt;Thresholds_Rates!$C$13),"-",$C22*Thresholds_Rates!$F$12)))</f>
        <v>-</v>
      </c>
      <c r="F22" s="145" t="str">
        <f ca="1">IF(B22="","",IF(SUMIF(Grades!$A:$A,$B$6,Grades!$BV:$BV)=0,"-",$C22*Thresholds_Rates!$F$13))</f>
        <v>-</v>
      </c>
      <c r="G22" s="145">
        <f ca="1">IF(B22="","",IF($B$6="Apprenticeship","-",IF(SUMIF(Grades!$A:$A,$B$6,Grades!$BW:$BW)=0,"-",IF(AND(VLOOKUP($B$6,Grades!$A:$BZ,77,FALSE)="YES",B22&gt;Thresholds_Rates!$C$14),"-",$C22*Thresholds_Rates!$F$14))))</f>
        <v>8482.32</v>
      </c>
      <c r="H22" s="145">
        <f ca="1">IF($B22="","",IF(($C22-(Thresholds_Rates!$C$4*12))&lt;0,0,ROUND(($C22-(Thresholds_Rates!$C$4*12))*Thresholds_Rates!$C$7,0)))</f>
        <v>2570</v>
      </c>
      <c r="I22" s="145">
        <f ca="1">IF(B22="","",(C22*Thresholds_Rates!$C$9))</f>
        <v>138.6</v>
      </c>
      <c r="J22" s="145">
        <f ca="1">IF(B22="","",IF(SUMIF(Grades!$A:$A,$B$6,Grades!$BX:$BX)=0,"-",IF(AND(VLOOKUP($B$6,Grades!$A:$BZ,77,FALSE)="YES",B22&gt;Thresholds_Rates!$C$14),"-",$C22*Thresholds_Rates!$F$15)))</f>
        <v>3880.8</v>
      </c>
      <c r="K22" s="145"/>
      <c r="L22" s="145" t="str">
        <f t="shared" ca="1" si="0"/>
        <v>-</v>
      </c>
      <c r="M22" s="145" t="str">
        <f t="shared" ca="1" si="1"/>
        <v>-</v>
      </c>
      <c r="N22" s="145">
        <f t="shared" ca="1" si="2"/>
        <v>38910.92</v>
      </c>
      <c r="O22" s="145">
        <f t="shared" ca="1" si="3"/>
        <v>34309.4</v>
      </c>
      <c r="P22" s="145">
        <f t="shared" ca="1" si="4"/>
        <v>30428.6</v>
      </c>
      <c r="Q22" s="219"/>
      <c r="R22" s="106" t="str">
        <f ca="1">IF(OR($B22="",$C$13="Salary"),"",SUMIF(INDIRECT("'Points Lookup'!"&amp;VLOOKUP($B$6,Grades!$A:$BZ,3,FALSE)&amp;":"&amp;VLOOKUP($B$6,Grades!$A:$BZ,3,FALSE)),$B22,OFFSET(INDIRECT("'Points Lookup'!"&amp;VLOOKUP($B$6,Grades!$A:$BZ,3,FALSE)&amp;":"&amp;VLOOKUP($B$6,Grades!$A:$BZ,3,FALSE)),0,1)))</f>
        <v/>
      </c>
      <c r="S22" s="107" t="str">
        <f ca="1">IF(OR($B22="",$C$13="Salary"),"",$C22-SUMIF(INDIRECT("'Points Lookup'!"&amp;VLOOKUP($B$6,Grades!$A:$BZ,3,FALSE)&amp;":"&amp;VLOOKUP($B$6,Grades!$A:$BZ,3,FALSE)),$B22,OFFSET(INDIRECT("'Points Lookup'!"&amp;VLOOKUP($B$6,Grades!$A:$BZ,3,FALSE)&amp;":"&amp;VLOOKUP($B$6,Grades!$A:$BZ,3,FALSE)),0,2)))</f>
        <v/>
      </c>
      <c r="T22" s="106" t="str">
        <f ca="1">IF(OR($B22="",$C$13="Salary"),"",SUMIF(INDIRECT("'Points Lookup'!"&amp;VLOOKUP($B$6,Grades!$A:$BZ,3,FALSE)&amp;":"&amp;VLOOKUP($B$6,Grades!$A:$BZ,3,FALSE)),$B22,OFFSET(INDIRECT("'Points Lookup'!"&amp;VLOOKUP($B$6,Grades!$A:$BZ,3,FALSE)&amp;":"&amp;VLOOKUP($B$6,Grades!$A:$BZ,3,FALSE)),0,4)))</f>
        <v/>
      </c>
      <c r="U22" s="107" t="str">
        <f t="shared" ca="1" si="5"/>
        <v/>
      </c>
    </row>
    <row r="23" spans="2:21" x14ac:dyDescent="0.35">
      <c r="B23" s="36">
        <f ca="1">IFERROR(INDEX('Points Lookup'!$A:$A,MATCH(ROW()-13,'Points Lookup'!$AN:$AN,0)),"")</f>
        <v>19</v>
      </c>
      <c r="C23" s="145">
        <f ca="1">(IF(B23="","",$C$10*SUMIF(INDIRECT("'Points Lookup'!"&amp;VLOOKUP($B$6,Grades!A:BZ,3,FALSE)&amp;":"&amp;VLOOKUP($B$6,Grades!A:BZ,3,FALSE)),B23,INDIRECT("'Points Lookup'!"&amp;VLOOKUP($B$6,Grades!A:BZ,4,FALSE)&amp;":"&amp;VLOOKUP($B$6,Grades!A:Z,4,FALSE)))))</f>
        <v>28491</v>
      </c>
      <c r="D23" s="145"/>
      <c r="E23" s="145" t="str">
        <f ca="1">IF($B23="","",IF(SUMIF(Grades!$A:$A,$B$6,Grades!$BU:$BU)=0,"-",IF(AND(VLOOKUP($B$6,Grades!$A:$BZ,77,FALSE)="YES",B23&lt;Thresholds_Rates!$C$13),"-",$C23*Thresholds_Rates!$F$12)))</f>
        <v>-</v>
      </c>
      <c r="F23" s="145" t="str">
        <f ca="1">IF(B23="","",IF(SUMIF(Grades!$A:$A,$B$6,Grades!$BV:$BV)=0,"-",$C23*Thresholds_Rates!$F$13))</f>
        <v>-</v>
      </c>
      <c r="G23" s="145">
        <f ca="1">IF(B23="","",IF($B$6="Apprenticeship","-",IF(SUMIF(Grades!$A:$A,$B$6,Grades!$BW:$BW)=0,"-",IF(AND(VLOOKUP($B$6,Grades!$A:$BZ,77,FALSE)="YES",B23&gt;Thresholds_Rates!$C$14),"-",$C23*Thresholds_Rates!$F$14))))</f>
        <v>8718.2459999999992</v>
      </c>
      <c r="H23" s="145">
        <f ca="1">IF($B23="","",IF(($C23-(Thresholds_Rates!$C$4*12))&lt;0,0,ROUND(($C23-(Thresholds_Rates!$C$4*12))*Thresholds_Rates!$C$7,0)))</f>
        <v>2677</v>
      </c>
      <c r="I23" s="145">
        <f ca="1">IF(B23="","",(C23*Thresholds_Rates!$C$9))</f>
        <v>142.45500000000001</v>
      </c>
      <c r="J23" s="145">
        <f ca="1">IF(B23="","",IF(SUMIF(Grades!$A:$A,$B$6,Grades!$BX:$BX)=0,"-",IF(AND(VLOOKUP($B$6,Grades!$A:$BZ,77,FALSE)="YES",B23&gt;Thresholds_Rates!$C$14),"-",$C23*Thresholds_Rates!$F$15)))</f>
        <v>3988.7400000000002</v>
      </c>
      <c r="K23" s="145"/>
      <c r="L23" s="145" t="str">
        <f t="shared" ca="1" si="0"/>
        <v>-</v>
      </c>
      <c r="M23" s="145" t="str">
        <f t="shared" ca="1" si="1"/>
        <v>-</v>
      </c>
      <c r="N23" s="145">
        <f t="shared" ca="1" si="2"/>
        <v>40028.701000000001</v>
      </c>
      <c r="O23" s="145">
        <f t="shared" ca="1" si="3"/>
        <v>35299.195</v>
      </c>
      <c r="P23" s="145">
        <f t="shared" ca="1" si="4"/>
        <v>31310.455000000002</v>
      </c>
      <c r="Q23" s="219"/>
      <c r="R23" s="106" t="str">
        <f ca="1">IF(OR($B23="",$C$13="Salary"),"",SUMIF(INDIRECT("'Points Lookup'!"&amp;VLOOKUP($B$6,Grades!$A:$BZ,3,FALSE)&amp;":"&amp;VLOOKUP($B$6,Grades!$A:$BZ,3,FALSE)),$B23,OFFSET(INDIRECT("'Points Lookup'!"&amp;VLOOKUP($B$6,Grades!$A:$BZ,3,FALSE)&amp;":"&amp;VLOOKUP($B$6,Grades!$A:$BZ,3,FALSE)),0,1)))</f>
        <v/>
      </c>
      <c r="S23" s="107" t="str">
        <f ca="1">IF(OR($B23="",$C$13="Salary"),"",$C23-SUMIF(INDIRECT("'Points Lookup'!"&amp;VLOOKUP($B$6,Grades!$A:$BZ,3,FALSE)&amp;":"&amp;VLOOKUP($B$6,Grades!$A:$BZ,3,FALSE)),$B23,OFFSET(INDIRECT("'Points Lookup'!"&amp;VLOOKUP($B$6,Grades!$A:$BZ,3,FALSE)&amp;":"&amp;VLOOKUP($B$6,Grades!$A:$BZ,3,FALSE)),0,2)))</f>
        <v/>
      </c>
      <c r="T23" s="106" t="str">
        <f ca="1">IF(OR($B23="",$C$13="Salary"),"",SUMIF(INDIRECT("'Points Lookup'!"&amp;VLOOKUP($B$6,Grades!$A:$BZ,3,FALSE)&amp;":"&amp;VLOOKUP($B$6,Grades!$A:$BZ,3,FALSE)),$B23,OFFSET(INDIRECT("'Points Lookup'!"&amp;VLOOKUP($B$6,Grades!$A:$BZ,3,FALSE)&amp;":"&amp;VLOOKUP($B$6,Grades!$A:$BZ,3,FALSE)),0,4)))</f>
        <v/>
      </c>
      <c r="U23" s="107" t="str">
        <f t="shared" ca="1" si="5"/>
        <v/>
      </c>
    </row>
    <row r="24" spans="2:21" x14ac:dyDescent="0.35">
      <c r="B24" s="36">
        <f ca="1">IFERROR(INDEX('Points Lookup'!$A:$A,MATCH(ROW()-13,'Points Lookup'!$AN:$AN,0)),"")</f>
        <v>20</v>
      </c>
      <c r="C24" s="145">
        <f ca="1">(IF(B24="","",$C$10*SUMIF(INDIRECT("'Points Lookup'!"&amp;VLOOKUP($B$6,Grades!A:BZ,3,FALSE)&amp;":"&amp;VLOOKUP($B$6,Grades!A:BZ,3,FALSE)),B24,INDIRECT("'Points Lookup'!"&amp;VLOOKUP($B$6,Grades!A:BZ,4,FALSE)&amp;":"&amp;VLOOKUP($B$6,Grades!A:Z,4,FALSE)))))</f>
        <v>29329</v>
      </c>
      <c r="D24" s="145"/>
      <c r="E24" s="145" t="str">
        <f ca="1">IF($B24="","",IF(SUMIF(Grades!$A:$A,$B$6,Grades!$BU:$BU)=0,"-",IF(AND(VLOOKUP($B$6,Grades!$A:$BZ,77,FALSE)="YES",B24&lt;Thresholds_Rates!$C$13),"-",$C24*Thresholds_Rates!$F$12)))</f>
        <v>-</v>
      </c>
      <c r="F24" s="145" t="str">
        <f ca="1">IF(B24="","",IF(SUMIF(Grades!$A:$A,$B$6,Grades!$BV:$BV)=0,"-",$C24*Thresholds_Rates!$F$13))</f>
        <v>-</v>
      </c>
      <c r="G24" s="145">
        <f ca="1">IF(B24="","",IF($B$6="Apprenticeship","-",IF(SUMIF(Grades!$A:$A,$B$6,Grades!$BW:$BW)=0,"-",IF(AND(VLOOKUP($B$6,Grades!$A:$BZ,77,FALSE)="YES",B24&gt;Thresholds_Rates!$C$14),"-",$C24*Thresholds_Rates!$F$14))))</f>
        <v>8974.6739999999991</v>
      </c>
      <c r="H24" s="145">
        <f ca="1">IF($B24="","",IF(($C24-(Thresholds_Rates!$C$4*12))&lt;0,0,ROUND(($C24-(Thresholds_Rates!$C$4*12))*Thresholds_Rates!$C$7,0)))</f>
        <v>2792</v>
      </c>
      <c r="I24" s="145">
        <f ca="1">IF(B24="","",(C24*Thresholds_Rates!$C$9))</f>
        <v>146.64500000000001</v>
      </c>
      <c r="J24" s="145">
        <f ca="1">IF(B24="","",IF(SUMIF(Grades!$A:$A,$B$6,Grades!$BX:$BX)=0,"-",IF(AND(VLOOKUP($B$6,Grades!$A:$BZ,77,FALSE)="YES",B24&gt;Thresholds_Rates!$C$14),"-",$C24*Thresholds_Rates!$F$15)))</f>
        <v>4106.0600000000004</v>
      </c>
      <c r="K24" s="145"/>
      <c r="L24" s="145" t="str">
        <f t="shared" ca="1" si="0"/>
        <v>-</v>
      </c>
      <c r="M24" s="145" t="str">
        <f t="shared" ca="1" si="1"/>
        <v>-</v>
      </c>
      <c r="N24" s="145">
        <f t="shared" ca="1" si="2"/>
        <v>41242.318999999996</v>
      </c>
      <c r="O24" s="145">
        <f t="shared" ca="1" si="3"/>
        <v>36373.704999999994</v>
      </c>
      <c r="P24" s="145">
        <f t="shared" ca="1" si="4"/>
        <v>32267.645</v>
      </c>
      <c r="Q24" s="219"/>
      <c r="R24" s="106" t="str">
        <f ca="1">IF(OR($B24="",$C$13="Salary"),"",SUMIF(INDIRECT("'Points Lookup'!"&amp;VLOOKUP($B$6,Grades!$A:$BZ,3,FALSE)&amp;":"&amp;VLOOKUP($B$6,Grades!$A:$BZ,3,FALSE)),$B24,OFFSET(INDIRECT("'Points Lookup'!"&amp;VLOOKUP($B$6,Grades!$A:$BZ,3,FALSE)&amp;":"&amp;VLOOKUP($B$6,Grades!$A:$BZ,3,FALSE)),0,1)))</f>
        <v/>
      </c>
      <c r="S24" s="107" t="str">
        <f ca="1">IF(OR($B24="",$C$13="Salary"),"",$C24-SUMIF(INDIRECT("'Points Lookup'!"&amp;VLOOKUP($B$6,Grades!$A:$BZ,3,FALSE)&amp;":"&amp;VLOOKUP($B$6,Grades!$A:$BZ,3,FALSE)),$B24,OFFSET(INDIRECT("'Points Lookup'!"&amp;VLOOKUP($B$6,Grades!$A:$BZ,3,FALSE)&amp;":"&amp;VLOOKUP($B$6,Grades!$A:$BZ,3,FALSE)),0,2)))</f>
        <v/>
      </c>
      <c r="T24" s="106" t="str">
        <f ca="1">IF(OR($B24="",$C$13="Salary"),"",SUMIF(INDIRECT("'Points Lookup'!"&amp;VLOOKUP($B$6,Grades!$A:$BZ,3,FALSE)&amp;":"&amp;VLOOKUP($B$6,Grades!$A:$BZ,3,FALSE)),$B24,OFFSET(INDIRECT("'Points Lookup'!"&amp;VLOOKUP($B$6,Grades!$A:$BZ,3,FALSE)&amp;":"&amp;VLOOKUP($B$6,Grades!$A:$BZ,3,FALSE)),0,4)))</f>
        <v/>
      </c>
      <c r="U24" s="107" t="str">
        <f t="shared" ca="1" si="5"/>
        <v/>
      </c>
    </row>
    <row r="25" spans="2:21" x14ac:dyDescent="0.35">
      <c r="B25" s="36">
        <f ca="1">IFERROR(INDEX('Points Lookup'!$A:$A,MATCH(ROW()-13,'Points Lookup'!$AN:$AN,0)),"")</f>
        <v>21</v>
      </c>
      <c r="C25" s="145">
        <f ca="1">(IF(B25="","",$C$10*SUMIF(INDIRECT("'Points Lookup'!"&amp;VLOOKUP($B$6,Grades!A:BZ,3,FALSE)&amp;":"&amp;VLOOKUP($B$6,Grades!A:BZ,3,FALSE)),B25,INDIRECT("'Points Lookup'!"&amp;VLOOKUP($B$6,Grades!A:BZ,4,FALSE)&amp;":"&amp;VLOOKUP($B$6,Grades!A:Z,4,FALSE)))))</f>
        <v>30146</v>
      </c>
      <c r="D25" s="145"/>
      <c r="E25" s="145" t="str">
        <f ca="1">IF($B25="","",IF(SUMIF(Grades!$A:$A,$B$6,Grades!$BU:$BU)=0,"-",IF(AND(VLOOKUP($B$6,Grades!$A:$BZ,77,FALSE)="YES",B25&lt;Thresholds_Rates!$C$13),"-",$C25*Thresholds_Rates!$F$12)))</f>
        <v>-</v>
      </c>
      <c r="F25" s="145" t="str">
        <f ca="1">IF(B25="","",IF(SUMIF(Grades!$A:$A,$B$6,Grades!$BV:$BV)=0,"-",$C25*Thresholds_Rates!$F$13))</f>
        <v>-</v>
      </c>
      <c r="G25" s="145">
        <f ca="1">IF(B25="","",IF($B$6="Apprenticeship","-",IF(SUMIF(Grades!$A:$A,$B$6,Grades!$BW:$BW)=0,"-",IF(AND(VLOOKUP($B$6,Grades!$A:$BZ,77,FALSE)="YES",B25&gt;Thresholds_Rates!$C$14),"-",$C25*Thresholds_Rates!$F$14))))</f>
        <v>9224.6759999999995</v>
      </c>
      <c r="H25" s="145">
        <f ca="1">IF($B25="","",IF(($C25-(Thresholds_Rates!$C$4*12))&lt;0,0,ROUND(($C25-(Thresholds_Rates!$C$4*12))*Thresholds_Rates!$C$7,0)))</f>
        <v>2905</v>
      </c>
      <c r="I25" s="145">
        <f ca="1">IF(B25="","",(C25*Thresholds_Rates!$C$9))</f>
        <v>150.72999999999999</v>
      </c>
      <c r="J25" s="145">
        <f ca="1">IF(B25="","",IF(SUMIF(Grades!$A:$A,$B$6,Grades!$BX:$BX)=0,"-",IF(AND(VLOOKUP($B$6,Grades!$A:$BZ,77,FALSE)="YES",B25&gt;Thresholds_Rates!$C$14),"-",$C25*Thresholds_Rates!$F$15)))</f>
        <v>4220.4400000000005</v>
      </c>
      <c r="K25" s="145"/>
      <c r="L25" s="145" t="str">
        <f t="shared" ca="1" si="0"/>
        <v>-</v>
      </c>
      <c r="M25" s="145" t="str">
        <f t="shared" ca="1" si="1"/>
        <v>-</v>
      </c>
      <c r="N25" s="145">
        <f t="shared" ca="1" si="2"/>
        <v>42426.406000000003</v>
      </c>
      <c r="O25" s="145">
        <f t="shared" ca="1" si="3"/>
        <v>37422.170000000006</v>
      </c>
      <c r="P25" s="145">
        <f t="shared" ca="1" si="4"/>
        <v>33201.730000000003</v>
      </c>
      <c r="Q25" s="219"/>
      <c r="R25" s="106" t="str">
        <f ca="1">IF(OR($B25="",$C$13="Salary"),"",SUMIF(INDIRECT("'Points Lookup'!"&amp;VLOOKUP($B$6,Grades!$A:$BZ,3,FALSE)&amp;":"&amp;VLOOKUP($B$6,Grades!$A:$BZ,3,FALSE)),$B25,OFFSET(INDIRECT("'Points Lookup'!"&amp;VLOOKUP($B$6,Grades!$A:$BZ,3,FALSE)&amp;":"&amp;VLOOKUP($B$6,Grades!$A:$BZ,3,FALSE)),0,1)))</f>
        <v/>
      </c>
      <c r="S25" s="107" t="str">
        <f ca="1">IF(OR($B25="",$C$13="Salary"),"",$C25-SUMIF(INDIRECT("'Points Lookup'!"&amp;VLOOKUP($B$6,Grades!$A:$BZ,3,FALSE)&amp;":"&amp;VLOOKUP($B$6,Grades!$A:$BZ,3,FALSE)),$B25,OFFSET(INDIRECT("'Points Lookup'!"&amp;VLOOKUP($B$6,Grades!$A:$BZ,3,FALSE)&amp;":"&amp;VLOOKUP($B$6,Grades!$A:$BZ,3,FALSE)),0,2)))</f>
        <v/>
      </c>
      <c r="T25" s="106" t="str">
        <f ca="1">IF(OR($B25="",$C$13="Salary"),"",SUMIF(INDIRECT("'Points Lookup'!"&amp;VLOOKUP($B$6,Grades!$A:$BZ,3,FALSE)&amp;":"&amp;VLOOKUP($B$6,Grades!$A:$BZ,3,FALSE)),$B25,OFFSET(INDIRECT("'Points Lookup'!"&amp;VLOOKUP($B$6,Grades!$A:$BZ,3,FALSE)&amp;":"&amp;VLOOKUP($B$6,Grades!$A:$BZ,3,FALSE)),0,4)))</f>
        <v/>
      </c>
      <c r="U25" s="107" t="str">
        <f t="shared" ca="1" si="5"/>
        <v/>
      </c>
    </row>
    <row r="26" spans="2:21" x14ac:dyDescent="0.35">
      <c r="B26" s="36">
        <f ca="1">IFERROR(INDEX('Points Lookup'!$A:$A,MATCH(ROW()-13,'Points Lookup'!$AN:$AN,0)),"")</f>
        <v>22</v>
      </c>
      <c r="C26" s="145">
        <f ca="1">(IF(B26="","",$C$10*SUMIF(INDIRECT("'Points Lookup'!"&amp;VLOOKUP($B$6,Grades!A:BZ,3,FALSE)&amp;":"&amp;VLOOKUP($B$6,Grades!A:BZ,3,FALSE)),B26,INDIRECT("'Points Lookup'!"&amp;VLOOKUP($B$6,Grades!A:BZ,4,FALSE)&amp;":"&amp;VLOOKUP($B$6,Grades!A:Z,4,FALSE)))))</f>
        <v>31033</v>
      </c>
      <c r="D26" s="145"/>
      <c r="E26" s="145" t="str">
        <f ca="1">IF($B26="","",IF(SUMIF(Grades!$A:$A,$B$6,Grades!$BU:$BU)=0,"-",IF(AND(VLOOKUP($B$6,Grades!$A:$BZ,77,FALSE)="YES",B26&lt;Thresholds_Rates!$C$13),"-",$C26*Thresholds_Rates!$F$12)))</f>
        <v>-</v>
      </c>
      <c r="F26" s="145" t="str">
        <f ca="1">IF(B26="","",IF(SUMIF(Grades!$A:$A,$B$6,Grades!$BV:$BV)=0,"-",$C26*Thresholds_Rates!$F$13))</f>
        <v>-</v>
      </c>
      <c r="G26" s="145">
        <f ca="1">IF(B26="","",IF($B$6="Apprenticeship","-",IF(SUMIF(Grades!$A:$A,$B$6,Grades!$BW:$BW)=0,"-",IF(AND(VLOOKUP($B$6,Grades!$A:$BZ,77,FALSE)="YES",B26&gt;Thresholds_Rates!$C$14),"-",$C26*Thresholds_Rates!$F$14))))</f>
        <v>9496.098</v>
      </c>
      <c r="H26" s="145">
        <f ca="1">IF($B26="","",IF(($C26-(Thresholds_Rates!$C$4*12))&lt;0,0,ROUND(($C26-(Thresholds_Rates!$C$4*12))*Thresholds_Rates!$C$7,0)))</f>
        <v>3027</v>
      </c>
      <c r="I26" s="145">
        <f ca="1">IF(B26="","",(C26*Thresholds_Rates!$C$9))</f>
        <v>155.16499999999999</v>
      </c>
      <c r="J26" s="145">
        <f ca="1">IF(B26="","",IF(SUMIF(Grades!$A:$A,$B$6,Grades!$BX:$BX)=0,"-",IF(AND(VLOOKUP($B$6,Grades!$A:$BZ,77,FALSE)="YES",B26&gt;Thresholds_Rates!$C$14),"-",$C26*Thresholds_Rates!$F$15)))</f>
        <v>4344.6200000000008</v>
      </c>
      <c r="K26" s="145"/>
      <c r="L26" s="145" t="str">
        <f t="shared" ca="1" si="0"/>
        <v>-</v>
      </c>
      <c r="M26" s="145" t="str">
        <f t="shared" ca="1" si="1"/>
        <v>-</v>
      </c>
      <c r="N26" s="145">
        <f t="shared" ca="1" si="2"/>
        <v>43711.262999999999</v>
      </c>
      <c r="O26" s="145">
        <f t="shared" ca="1" si="3"/>
        <v>38559.785000000003</v>
      </c>
      <c r="P26" s="145">
        <f t="shared" ca="1" si="4"/>
        <v>34215.165000000001</v>
      </c>
      <c r="Q26" s="219"/>
      <c r="R26" s="106" t="str">
        <f ca="1">IF(OR($B26="",$C$13="Salary"),"",SUMIF(INDIRECT("'Points Lookup'!"&amp;VLOOKUP($B$6,Grades!$A:$BZ,3,FALSE)&amp;":"&amp;VLOOKUP($B$6,Grades!$A:$BZ,3,FALSE)),$B26,OFFSET(INDIRECT("'Points Lookup'!"&amp;VLOOKUP($B$6,Grades!$A:$BZ,3,FALSE)&amp;":"&amp;VLOOKUP($B$6,Grades!$A:$BZ,3,FALSE)),0,1)))</f>
        <v/>
      </c>
      <c r="S26" s="107" t="str">
        <f ca="1">IF(OR($B26="",$C$13="Salary"),"",$C26-SUMIF(INDIRECT("'Points Lookup'!"&amp;VLOOKUP($B$6,Grades!$A:$BZ,3,FALSE)&amp;":"&amp;VLOOKUP($B$6,Grades!$A:$BZ,3,FALSE)),$B26,OFFSET(INDIRECT("'Points Lookup'!"&amp;VLOOKUP($B$6,Grades!$A:$BZ,3,FALSE)&amp;":"&amp;VLOOKUP($B$6,Grades!$A:$BZ,3,FALSE)),0,2)))</f>
        <v/>
      </c>
      <c r="T26" s="106" t="str">
        <f ca="1">IF(OR($B26="",$C$13="Salary"),"",SUMIF(INDIRECT("'Points Lookup'!"&amp;VLOOKUP($B$6,Grades!$A:$BZ,3,FALSE)&amp;":"&amp;VLOOKUP($B$6,Grades!$A:$BZ,3,FALSE)),$B26,OFFSET(INDIRECT("'Points Lookup'!"&amp;VLOOKUP($B$6,Grades!$A:$BZ,3,FALSE)&amp;":"&amp;VLOOKUP($B$6,Grades!$A:$BZ,3,FALSE)),0,4)))</f>
        <v/>
      </c>
      <c r="U26" s="107" t="str">
        <f t="shared" ca="1" si="5"/>
        <v/>
      </c>
    </row>
    <row r="27" spans="2:21" x14ac:dyDescent="0.35">
      <c r="B27" s="36">
        <f ca="1">IFERROR(INDEX('Points Lookup'!$A:$A,MATCH(ROW()-13,'Points Lookup'!$AN:$AN,0)),"")</f>
        <v>23</v>
      </c>
      <c r="C27" s="145">
        <f ca="1">(IF(B27="","",$C$10*SUMIF(INDIRECT("'Points Lookup'!"&amp;VLOOKUP($B$6,Grades!A:BZ,3,FALSE)&amp;":"&amp;VLOOKUP($B$6,Grades!A:BZ,3,FALSE)),B27,INDIRECT("'Points Lookup'!"&amp;VLOOKUP($B$6,Grades!A:BZ,4,FALSE)&amp;":"&amp;VLOOKUP($B$6,Grades!A:Z,4,FALSE)))))</f>
        <v>31958</v>
      </c>
      <c r="D27" s="145"/>
      <c r="E27" s="145" t="str">
        <f ca="1">IF($B27="","",IF(SUMIF(Grades!$A:$A,$B$6,Grades!$BU:$BU)=0,"-",IF(AND(VLOOKUP($B$6,Grades!$A:$BZ,77,FALSE)="YES",B27&lt;Thresholds_Rates!$C$13),"-",$C27*Thresholds_Rates!$F$12)))</f>
        <v>-</v>
      </c>
      <c r="F27" s="145" t="str">
        <f ca="1">IF(B27="","",IF(SUMIF(Grades!$A:$A,$B$6,Grades!$BV:$BV)=0,"-",$C27*Thresholds_Rates!$F$13))</f>
        <v>-</v>
      </c>
      <c r="G27" s="145">
        <f ca="1">IF(B27="","",IF($B$6="Apprenticeship","-",IF(SUMIF(Grades!$A:$A,$B$6,Grades!$BW:$BW)=0,"-",IF(AND(VLOOKUP($B$6,Grades!$A:$BZ,77,FALSE)="YES",B27&gt;Thresholds_Rates!$C$14),"-",$C27*Thresholds_Rates!$F$14))))</f>
        <v>9779.1479999999992</v>
      </c>
      <c r="H27" s="145">
        <f ca="1">IF($B27="","",IF(($C27-(Thresholds_Rates!$C$4*12))&lt;0,0,ROUND(($C27-(Thresholds_Rates!$C$4*12))*Thresholds_Rates!$C$7,0)))</f>
        <v>3155</v>
      </c>
      <c r="I27" s="145">
        <f ca="1">IF(B27="","",(C27*Thresholds_Rates!$C$9))</f>
        <v>159.79</v>
      </c>
      <c r="J27" s="145">
        <f ca="1">IF(B27="","",IF(SUMIF(Grades!$A:$A,$B$6,Grades!$BX:$BX)=0,"-",IF(AND(VLOOKUP($B$6,Grades!$A:$BZ,77,FALSE)="YES",B27&gt;Thresholds_Rates!$C$14),"-",$C27*Thresholds_Rates!$F$15)))</f>
        <v>4474.1200000000008</v>
      </c>
      <c r="K27" s="145"/>
      <c r="L27" s="145" t="str">
        <f t="shared" ca="1" si="0"/>
        <v>-</v>
      </c>
      <c r="M27" s="145" t="str">
        <f t="shared" ca="1" si="1"/>
        <v>-</v>
      </c>
      <c r="N27" s="145">
        <f t="shared" ca="1" si="2"/>
        <v>45051.938000000002</v>
      </c>
      <c r="O27" s="145">
        <f t="shared" ca="1" si="3"/>
        <v>39746.910000000003</v>
      </c>
      <c r="P27" s="145">
        <f t="shared" ca="1" si="4"/>
        <v>35272.79</v>
      </c>
      <c r="Q27" s="219"/>
      <c r="R27" s="106" t="str">
        <f ca="1">IF(OR($B27="",$C$13="Salary"),"",SUMIF(INDIRECT("'Points Lookup'!"&amp;VLOOKUP($B$6,Grades!$A:$BZ,3,FALSE)&amp;":"&amp;VLOOKUP($B$6,Grades!$A:$BZ,3,FALSE)),$B27,OFFSET(INDIRECT("'Points Lookup'!"&amp;VLOOKUP($B$6,Grades!$A:$BZ,3,FALSE)&amp;":"&amp;VLOOKUP($B$6,Grades!$A:$BZ,3,FALSE)),0,1)))</f>
        <v/>
      </c>
      <c r="S27" s="107" t="str">
        <f ca="1">IF(OR($B27="",$C$13="Salary"),"",$C27-SUMIF(INDIRECT("'Points Lookup'!"&amp;VLOOKUP($B$6,Grades!$A:$BZ,3,FALSE)&amp;":"&amp;VLOOKUP($B$6,Grades!$A:$BZ,3,FALSE)),$B27,OFFSET(INDIRECT("'Points Lookup'!"&amp;VLOOKUP($B$6,Grades!$A:$BZ,3,FALSE)&amp;":"&amp;VLOOKUP($B$6,Grades!$A:$BZ,3,FALSE)),0,2)))</f>
        <v/>
      </c>
      <c r="T27" s="106" t="str">
        <f ca="1">IF(OR($B27="",$C$13="Salary"),"",SUMIF(INDIRECT("'Points Lookup'!"&amp;VLOOKUP($B$6,Grades!$A:$BZ,3,FALSE)&amp;":"&amp;VLOOKUP($B$6,Grades!$A:$BZ,3,FALSE)),$B27,OFFSET(INDIRECT("'Points Lookup'!"&amp;VLOOKUP($B$6,Grades!$A:$BZ,3,FALSE)&amp;":"&amp;VLOOKUP($B$6,Grades!$A:$BZ,3,FALSE)),0,4)))</f>
        <v/>
      </c>
      <c r="U27" s="107" t="str">
        <f t="shared" ca="1" si="5"/>
        <v/>
      </c>
    </row>
    <row r="28" spans="2:21" x14ac:dyDescent="0.35">
      <c r="B28" s="36">
        <f ca="1">IFERROR(INDEX('Points Lookup'!$A:$A,MATCH(ROW()-13,'Points Lookup'!$AN:$AN,0)),"")</f>
        <v>24</v>
      </c>
      <c r="C28" s="145">
        <f ca="1">(IF(B28="","",$C$10*SUMIF(INDIRECT("'Points Lookup'!"&amp;VLOOKUP($B$6,Grades!A:BZ,3,FALSE)&amp;":"&amp;VLOOKUP($B$6,Grades!A:BZ,3,FALSE)),B28,INDIRECT("'Points Lookup'!"&amp;VLOOKUP($B$6,Grades!A:BZ,4,FALSE)&amp;":"&amp;VLOOKUP($B$6,Grades!A:Z,4,FALSE)))))</f>
        <v>32911</v>
      </c>
      <c r="D28" s="145"/>
      <c r="E28" s="145" t="str">
        <f ca="1">IF($B28="","",IF(SUMIF(Grades!$A:$A,$B$6,Grades!$BU:$BU)=0,"-",IF(AND(VLOOKUP($B$6,Grades!$A:$BZ,77,FALSE)="YES",B28&lt;Thresholds_Rates!$C$13),"-",$C28*Thresholds_Rates!$F$12)))</f>
        <v>-</v>
      </c>
      <c r="F28" s="145" t="str">
        <f ca="1">IF(B28="","",IF(SUMIF(Grades!$A:$A,$B$6,Grades!$BV:$BV)=0,"-",$C28*Thresholds_Rates!$F$13))</f>
        <v>-</v>
      </c>
      <c r="G28" s="145">
        <f ca="1">IF(B28="","",IF($B$6="Apprenticeship","-",IF(SUMIF(Grades!$A:$A,$B$6,Grades!$BW:$BW)=0,"-",IF(AND(VLOOKUP($B$6,Grades!$A:$BZ,77,FALSE)="YES",B28&gt;Thresholds_Rates!$C$14),"-",$C28*Thresholds_Rates!$F$14))))</f>
        <v>10070.766</v>
      </c>
      <c r="H28" s="145">
        <f ca="1">IF($B28="","",IF(($C28-(Thresholds_Rates!$C$4*12))&lt;0,0,ROUND(($C28-(Thresholds_Rates!$C$4*12))*Thresholds_Rates!$C$7,0)))</f>
        <v>3286</v>
      </c>
      <c r="I28" s="145">
        <f ca="1">IF(B28="","",(C28*Thresholds_Rates!$C$9))</f>
        <v>164.55500000000001</v>
      </c>
      <c r="J28" s="145">
        <f ca="1">IF(B28="","",IF(SUMIF(Grades!$A:$A,$B$6,Grades!$BX:$BX)=0,"-",IF(AND(VLOOKUP($B$6,Grades!$A:$BZ,77,FALSE)="YES",B28&gt;Thresholds_Rates!$C$14),"-",$C28*Thresholds_Rates!$F$15)))</f>
        <v>4607.5400000000009</v>
      </c>
      <c r="K28" s="145"/>
      <c r="L28" s="145" t="str">
        <f t="shared" ca="1" si="0"/>
        <v>-</v>
      </c>
      <c r="M28" s="145" t="str">
        <f t="shared" ca="1" si="1"/>
        <v>-</v>
      </c>
      <c r="N28" s="145">
        <f t="shared" ca="1" si="2"/>
        <v>46432.321000000004</v>
      </c>
      <c r="O28" s="145">
        <f t="shared" ca="1" si="3"/>
        <v>40969.095000000001</v>
      </c>
      <c r="P28" s="145">
        <f t="shared" ca="1" si="4"/>
        <v>36361.555</v>
      </c>
      <c r="Q28" s="219"/>
      <c r="R28" s="106" t="str">
        <f ca="1">IF(OR($B28="",$C$13="Salary"),"",SUMIF(INDIRECT("'Points Lookup'!"&amp;VLOOKUP($B$6,Grades!$A:$BZ,3,FALSE)&amp;":"&amp;VLOOKUP($B$6,Grades!$A:$BZ,3,FALSE)),$B28,OFFSET(INDIRECT("'Points Lookup'!"&amp;VLOOKUP($B$6,Grades!$A:$BZ,3,FALSE)&amp;":"&amp;VLOOKUP($B$6,Grades!$A:$BZ,3,FALSE)),0,1)))</f>
        <v/>
      </c>
      <c r="S28" s="107" t="str">
        <f ca="1">IF(OR($B28="",$C$13="Salary"),"",$C28-SUMIF(INDIRECT("'Points Lookup'!"&amp;VLOOKUP($B$6,Grades!$A:$BZ,3,FALSE)&amp;":"&amp;VLOOKUP($B$6,Grades!$A:$BZ,3,FALSE)),$B28,OFFSET(INDIRECT("'Points Lookup'!"&amp;VLOOKUP($B$6,Grades!$A:$BZ,3,FALSE)&amp;":"&amp;VLOOKUP($B$6,Grades!$A:$BZ,3,FALSE)),0,2)))</f>
        <v/>
      </c>
      <c r="T28" s="106" t="str">
        <f ca="1">IF(OR($B28="",$C$13="Salary"),"",SUMIF(INDIRECT("'Points Lookup'!"&amp;VLOOKUP($B$6,Grades!$A:$BZ,3,FALSE)&amp;":"&amp;VLOOKUP($B$6,Grades!$A:$BZ,3,FALSE)),$B28,OFFSET(INDIRECT("'Points Lookup'!"&amp;VLOOKUP($B$6,Grades!$A:$BZ,3,FALSE)&amp;":"&amp;VLOOKUP($B$6,Grades!$A:$BZ,3,FALSE)),0,4)))</f>
        <v/>
      </c>
      <c r="U28" s="107" t="str">
        <f t="shared" ca="1" si="5"/>
        <v/>
      </c>
    </row>
    <row r="29" spans="2:21" x14ac:dyDescent="0.35">
      <c r="B29" s="36">
        <f ca="1">IFERROR(INDEX('Points Lookup'!$A:$A,MATCH(ROW()-13,'Points Lookup'!$AN:$AN,0)),"")</f>
        <v>25</v>
      </c>
      <c r="C29" s="145">
        <f ca="1">(IF(B29="","",$C$10*SUMIF(INDIRECT("'Points Lookup'!"&amp;VLOOKUP($B$6,Grades!A:BZ,3,FALSE)&amp;":"&amp;VLOOKUP($B$6,Grades!A:BZ,3,FALSE)),B29,INDIRECT("'Points Lookup'!"&amp;VLOOKUP($B$6,Grades!A:BZ,4,FALSE)&amp;":"&amp;VLOOKUP($B$6,Grades!A:Z,4,FALSE)))))</f>
        <v>33892</v>
      </c>
      <c r="D29" s="145"/>
      <c r="E29" s="145" t="str">
        <f ca="1">IF($B29="","",IF(SUMIF(Grades!$A:$A,$B$6,Grades!$BU:$BU)=0,"-",IF(AND(VLOOKUP($B$6,Grades!$A:$BZ,77,FALSE)="YES",B29&lt;Thresholds_Rates!$C$13),"-",$C29*Thresholds_Rates!$F$12)))</f>
        <v>-</v>
      </c>
      <c r="F29" s="145" t="str">
        <f ca="1">IF(B29="","",IF(SUMIF(Grades!$A:$A,$B$6,Grades!$BV:$BV)=0,"-",$C29*Thresholds_Rates!$F$13))</f>
        <v>-</v>
      </c>
      <c r="G29" s="145">
        <f ca="1">IF(B29="","",IF($B$6="Apprenticeship","-",IF(SUMIF(Grades!$A:$A,$B$6,Grades!$BW:$BW)=0,"-",IF(AND(VLOOKUP($B$6,Grades!$A:$BZ,77,FALSE)="YES",B29&gt;Thresholds_Rates!$C$14),"-",$C29*Thresholds_Rates!$F$14))))</f>
        <v>10370.951999999999</v>
      </c>
      <c r="H29" s="145">
        <f ca="1">IF($B29="","",IF(($C29-(Thresholds_Rates!$C$4*12))&lt;0,0,ROUND(($C29-(Thresholds_Rates!$C$4*12))*Thresholds_Rates!$C$7,0)))</f>
        <v>3422</v>
      </c>
      <c r="I29" s="145">
        <f ca="1">IF(B29="","",(C29*Thresholds_Rates!$C$9))</f>
        <v>169.46</v>
      </c>
      <c r="J29" s="145">
        <f ca="1">IF(B29="","",IF(SUMIF(Grades!$A:$A,$B$6,Grades!$BX:$BX)=0,"-",IF(AND(VLOOKUP($B$6,Grades!$A:$BZ,77,FALSE)="YES",B29&gt;Thresholds_Rates!$C$14),"-",$C29*Thresholds_Rates!$F$15)))</f>
        <v>4744.88</v>
      </c>
      <c r="K29" s="145"/>
      <c r="L29" s="145" t="str">
        <f t="shared" ca="1" si="0"/>
        <v>-</v>
      </c>
      <c r="M29" s="145" t="str">
        <f t="shared" ca="1" si="1"/>
        <v>-</v>
      </c>
      <c r="N29" s="145">
        <f t="shared" ca="1" si="2"/>
        <v>47854.411999999997</v>
      </c>
      <c r="O29" s="145">
        <f t="shared" ca="1" si="3"/>
        <v>42228.34</v>
      </c>
      <c r="P29" s="145">
        <f t="shared" ca="1" si="4"/>
        <v>37483.46</v>
      </c>
      <c r="Q29" s="219"/>
      <c r="R29" s="106" t="str">
        <f ca="1">IF(OR($B29="",$C$13="Salary"),"",SUMIF(INDIRECT("'Points Lookup'!"&amp;VLOOKUP($B$6,Grades!$A:$BZ,3,FALSE)&amp;":"&amp;VLOOKUP($B$6,Grades!$A:$BZ,3,FALSE)),$B29,OFFSET(INDIRECT("'Points Lookup'!"&amp;VLOOKUP($B$6,Grades!$A:$BZ,3,FALSE)&amp;":"&amp;VLOOKUP($B$6,Grades!$A:$BZ,3,FALSE)),0,1)))</f>
        <v/>
      </c>
      <c r="S29" s="107" t="str">
        <f ca="1">IF(OR($B29="",$C$13="Salary"),"",$C29-SUMIF(INDIRECT("'Points Lookup'!"&amp;VLOOKUP($B$6,Grades!$A:$BZ,3,FALSE)&amp;":"&amp;VLOOKUP($B$6,Grades!$A:$BZ,3,FALSE)),$B29,OFFSET(INDIRECT("'Points Lookup'!"&amp;VLOOKUP($B$6,Grades!$A:$BZ,3,FALSE)&amp;":"&amp;VLOOKUP($B$6,Grades!$A:$BZ,3,FALSE)),0,2)))</f>
        <v/>
      </c>
      <c r="T29" s="106" t="str">
        <f ca="1">IF(OR($B29="",$C$13="Salary"),"",SUMIF(INDIRECT("'Points Lookup'!"&amp;VLOOKUP($B$6,Grades!$A:$BZ,3,FALSE)&amp;":"&amp;VLOOKUP($B$6,Grades!$A:$BZ,3,FALSE)),$B29,OFFSET(INDIRECT("'Points Lookup'!"&amp;VLOOKUP($B$6,Grades!$A:$BZ,3,FALSE)&amp;":"&amp;VLOOKUP($B$6,Grades!$A:$BZ,3,FALSE)),0,4)))</f>
        <v/>
      </c>
      <c r="U29" s="107" t="str">
        <f t="shared" ca="1" si="5"/>
        <v/>
      </c>
    </row>
    <row r="30" spans="2:21" x14ac:dyDescent="0.35">
      <c r="B30" s="36">
        <f ca="1">IFERROR(INDEX('Points Lookup'!$A:$A,MATCH(ROW()-13,'Points Lookup'!$AN:$AN,0)),"")</f>
        <v>26</v>
      </c>
      <c r="C30" s="145">
        <f ca="1">(IF(B30="","",$C$10*SUMIF(INDIRECT("'Points Lookup'!"&amp;VLOOKUP($B$6,Grades!A:BZ,3,FALSE)&amp;":"&amp;VLOOKUP($B$6,Grades!A:BZ,3,FALSE)),B30,INDIRECT("'Points Lookup'!"&amp;VLOOKUP($B$6,Grades!A:BZ,4,FALSE)&amp;":"&amp;VLOOKUP($B$6,Grades!A:Z,4,FALSE)))))</f>
        <v>34901</v>
      </c>
      <c r="D30" s="145"/>
      <c r="E30" s="145" t="str">
        <f ca="1">IF($B30="","",IF(SUMIF(Grades!$A:$A,$B$6,Grades!$BU:$BU)=0,"-",IF(AND(VLOOKUP($B$6,Grades!$A:$BZ,77,FALSE)="YES",B30&lt;Thresholds_Rates!$C$13),"-",$C30*Thresholds_Rates!$F$12)))</f>
        <v>-</v>
      </c>
      <c r="F30" s="145" t="str">
        <f ca="1">IF(B30="","",IF(SUMIF(Grades!$A:$A,$B$6,Grades!$BV:$BV)=0,"-",$C30*Thresholds_Rates!$F$13))</f>
        <v>-</v>
      </c>
      <c r="G30" s="145">
        <f ca="1">IF(B30="","",IF($B$6="Apprenticeship","-",IF(SUMIF(Grades!$A:$A,$B$6,Grades!$BW:$BW)=0,"-",IF(AND(VLOOKUP($B$6,Grades!$A:$BZ,77,FALSE)="YES",B30&gt;Thresholds_Rates!$C$14),"-",$C30*Thresholds_Rates!$F$14))))</f>
        <v>10679.706</v>
      </c>
      <c r="H30" s="145">
        <f ca="1">IF($B30="","",IF(($C30-(Thresholds_Rates!$C$4*12))&lt;0,0,ROUND(($C30-(Thresholds_Rates!$C$4*12))*Thresholds_Rates!$C$7,0)))</f>
        <v>3561</v>
      </c>
      <c r="I30" s="145">
        <f ca="1">IF(B30="","",(C30*Thresholds_Rates!$C$9))</f>
        <v>174.505</v>
      </c>
      <c r="J30" s="145">
        <f ca="1">IF(B30="","",IF(SUMIF(Grades!$A:$A,$B$6,Grades!$BX:$BX)=0,"-",IF(AND(VLOOKUP($B$6,Grades!$A:$BZ,77,FALSE)="YES",B30&gt;Thresholds_Rates!$C$14),"-",$C30*Thresholds_Rates!$F$15)))</f>
        <v>4886.1400000000003</v>
      </c>
      <c r="K30" s="145"/>
      <c r="L30" s="145" t="str">
        <f t="shared" ca="1" si="0"/>
        <v>-</v>
      </c>
      <c r="M30" s="145" t="str">
        <f t="shared" ca="1" si="1"/>
        <v>-</v>
      </c>
      <c r="N30" s="145">
        <f t="shared" ca="1" si="2"/>
        <v>49316.210999999996</v>
      </c>
      <c r="O30" s="145">
        <f t="shared" ca="1" si="3"/>
        <v>43522.644999999997</v>
      </c>
      <c r="P30" s="145">
        <f t="shared" ca="1" si="4"/>
        <v>38636.504999999997</v>
      </c>
      <c r="Q30" s="219"/>
      <c r="R30" s="106" t="str">
        <f ca="1">IF(OR($B30="",$C$13="Salary"),"",SUMIF(INDIRECT("'Points Lookup'!"&amp;VLOOKUP($B$6,Grades!$A:$BZ,3,FALSE)&amp;":"&amp;VLOOKUP($B$6,Grades!$A:$BZ,3,FALSE)),$B30,OFFSET(INDIRECT("'Points Lookup'!"&amp;VLOOKUP($B$6,Grades!$A:$BZ,3,FALSE)&amp;":"&amp;VLOOKUP($B$6,Grades!$A:$BZ,3,FALSE)),0,1)))</f>
        <v/>
      </c>
      <c r="S30" s="107" t="str">
        <f ca="1">IF(OR($B30="",$C$13="Salary"),"",$C30-SUMIF(INDIRECT("'Points Lookup'!"&amp;VLOOKUP($B$6,Grades!$A:$BZ,3,FALSE)&amp;":"&amp;VLOOKUP($B$6,Grades!$A:$BZ,3,FALSE)),$B30,OFFSET(INDIRECT("'Points Lookup'!"&amp;VLOOKUP($B$6,Grades!$A:$BZ,3,FALSE)&amp;":"&amp;VLOOKUP($B$6,Grades!$A:$BZ,3,FALSE)),0,2)))</f>
        <v/>
      </c>
      <c r="T30" s="106" t="str">
        <f ca="1">IF(OR($B30="",$C$13="Salary"),"",SUMIF(INDIRECT("'Points Lookup'!"&amp;VLOOKUP($B$6,Grades!$A:$BZ,3,FALSE)&amp;":"&amp;VLOOKUP($B$6,Grades!$A:$BZ,3,FALSE)),$B30,OFFSET(INDIRECT("'Points Lookup'!"&amp;VLOOKUP($B$6,Grades!$A:$BZ,3,FALSE)&amp;":"&amp;VLOOKUP($B$6,Grades!$A:$BZ,3,FALSE)),0,4)))</f>
        <v/>
      </c>
      <c r="U30" s="107" t="str">
        <f t="shared" ca="1" si="5"/>
        <v/>
      </c>
    </row>
    <row r="31" spans="2:21" x14ac:dyDescent="0.35">
      <c r="B31" s="36">
        <f ca="1">IFERROR(INDEX('Points Lookup'!$A:$A,MATCH(ROW()-13,'Points Lookup'!$AN:$AN,0)),"")</f>
        <v>27</v>
      </c>
      <c r="C31" s="145">
        <f ca="1">(IF(B31="","",$C$10*SUMIF(INDIRECT("'Points Lookup'!"&amp;VLOOKUP($B$6,Grades!A:BZ,3,FALSE)&amp;":"&amp;VLOOKUP($B$6,Grades!A:BZ,3,FALSE)),B31,INDIRECT("'Points Lookup'!"&amp;VLOOKUP($B$6,Grades!A:BZ,4,FALSE)&amp;":"&amp;VLOOKUP($B$6,Grades!A:Z,4,FALSE)))))</f>
        <v>35943</v>
      </c>
      <c r="D31" s="145"/>
      <c r="E31" s="145" t="str">
        <f ca="1">IF($B31="","",IF(SUMIF(Grades!$A:$A,$B$6,Grades!$BU:$BU)=0,"-",IF(AND(VLOOKUP($B$6,Grades!$A:$BZ,77,FALSE)="YES",B31&lt;Thresholds_Rates!$C$13),"-",$C31*Thresholds_Rates!$F$12)))</f>
        <v>-</v>
      </c>
      <c r="F31" s="145" t="str">
        <f ca="1">IF(B31="","",IF(SUMIF(Grades!$A:$A,$B$6,Grades!$BV:$BV)=0,"-",$C31*Thresholds_Rates!$F$13))</f>
        <v>-</v>
      </c>
      <c r="G31" s="145">
        <f ca="1">IF(B31="","",IF($B$6="Apprenticeship","-",IF(SUMIF(Grades!$A:$A,$B$6,Grades!$BW:$BW)=0,"-",IF(AND(VLOOKUP($B$6,Grades!$A:$BZ,77,FALSE)="YES",B31&gt;Thresholds_Rates!$C$14),"-",$C31*Thresholds_Rates!$F$14))))</f>
        <v>10998.557999999999</v>
      </c>
      <c r="H31" s="145">
        <f ca="1">IF($B31="","",IF(($C31-(Thresholds_Rates!$C$4*12))&lt;0,0,ROUND(($C31-(Thresholds_Rates!$C$4*12))*Thresholds_Rates!$C$7,0)))</f>
        <v>3705</v>
      </c>
      <c r="I31" s="145">
        <f ca="1">IF(B31="","",(C31*Thresholds_Rates!$C$9))</f>
        <v>179.715</v>
      </c>
      <c r="J31" s="145">
        <f ca="1">IF(B31="","",IF(SUMIF(Grades!$A:$A,$B$6,Grades!$BX:$BX)=0,"-",IF(AND(VLOOKUP($B$6,Grades!$A:$BZ,77,FALSE)="YES",B31&gt;Thresholds_Rates!$C$14),"-",$C31*Thresholds_Rates!$F$15)))</f>
        <v>5032.0200000000004</v>
      </c>
      <c r="K31" s="145"/>
      <c r="L31" s="145" t="str">
        <f t="shared" ca="1" si="0"/>
        <v>-</v>
      </c>
      <c r="M31" s="145" t="str">
        <f t="shared" ca="1" si="1"/>
        <v>-</v>
      </c>
      <c r="N31" s="145">
        <f t="shared" ca="1" si="2"/>
        <v>50826.272999999994</v>
      </c>
      <c r="O31" s="145">
        <f t="shared" ca="1" si="3"/>
        <v>44859.735000000001</v>
      </c>
      <c r="P31" s="145">
        <f t="shared" ca="1" si="4"/>
        <v>39827.714999999997</v>
      </c>
      <c r="Q31" s="219"/>
      <c r="R31" s="106" t="str">
        <f ca="1">IF(OR($B31="",$C$13="Salary"),"",SUMIF(INDIRECT("'Points Lookup'!"&amp;VLOOKUP($B$6,Grades!$A:$BZ,3,FALSE)&amp;":"&amp;VLOOKUP($B$6,Grades!$A:$BZ,3,FALSE)),$B31,OFFSET(INDIRECT("'Points Lookup'!"&amp;VLOOKUP($B$6,Grades!$A:$BZ,3,FALSE)&amp;":"&amp;VLOOKUP($B$6,Grades!$A:$BZ,3,FALSE)),0,1)))</f>
        <v/>
      </c>
      <c r="S31" s="107" t="str">
        <f ca="1">IF(OR($B31="",$C$13="Salary"),"",$C31-SUMIF(INDIRECT("'Points Lookup'!"&amp;VLOOKUP($B$6,Grades!$A:$BZ,3,FALSE)&amp;":"&amp;VLOOKUP($B$6,Grades!$A:$BZ,3,FALSE)),$B31,OFFSET(INDIRECT("'Points Lookup'!"&amp;VLOOKUP($B$6,Grades!$A:$BZ,3,FALSE)&amp;":"&amp;VLOOKUP($B$6,Grades!$A:$BZ,3,FALSE)),0,2)))</f>
        <v/>
      </c>
      <c r="T31" s="106" t="str">
        <f ca="1">IF(OR($B31="",$C$13="Salary"),"",SUMIF(INDIRECT("'Points Lookup'!"&amp;VLOOKUP($B$6,Grades!$A:$BZ,3,FALSE)&amp;":"&amp;VLOOKUP($B$6,Grades!$A:$BZ,3,FALSE)),$B31,OFFSET(INDIRECT("'Points Lookup'!"&amp;VLOOKUP($B$6,Grades!$A:$BZ,3,FALSE)&amp;":"&amp;VLOOKUP($B$6,Grades!$A:$BZ,3,FALSE)),0,4)))</f>
        <v/>
      </c>
      <c r="U31" s="107" t="str">
        <f t="shared" ca="1" si="5"/>
        <v/>
      </c>
    </row>
    <row r="32" spans="2:21" x14ac:dyDescent="0.35">
      <c r="B32" s="36">
        <f ca="1">IFERROR(INDEX('Points Lookup'!$A:$A,MATCH(ROW()-13,'Points Lookup'!$AN:$AN,0)),"")</f>
        <v>28</v>
      </c>
      <c r="C32" s="145">
        <f ca="1">(IF(B32="","",$C$10*SUMIF(INDIRECT("'Points Lookup'!"&amp;VLOOKUP($B$6,Grades!A:BZ,3,FALSE)&amp;":"&amp;VLOOKUP($B$6,Grades!A:BZ,3,FALSE)),B32,INDIRECT("'Points Lookup'!"&amp;VLOOKUP($B$6,Grades!A:BZ,4,FALSE)&amp;":"&amp;VLOOKUP($B$6,Grades!A:Z,4,FALSE)))))</f>
        <v>37016</v>
      </c>
      <c r="D32" s="145"/>
      <c r="E32" s="145" t="str">
        <f ca="1">IF($B32="","",IF(SUMIF(Grades!$A:$A,$B$6,Grades!$BU:$BU)=0,"-",IF(AND(VLOOKUP($B$6,Grades!$A:$BZ,77,FALSE)="YES",B32&lt;Thresholds_Rates!$C$13),"-",$C32*Thresholds_Rates!$F$12)))</f>
        <v>-</v>
      </c>
      <c r="F32" s="145" t="str">
        <f ca="1">IF(B32="","",IF(SUMIF(Grades!$A:$A,$B$6,Grades!$BV:$BV)=0,"-",$C32*Thresholds_Rates!$F$13))</f>
        <v>-</v>
      </c>
      <c r="G32" s="145">
        <f ca="1">IF(B32="","",IF($B$6="Apprenticeship","-",IF(SUMIF(Grades!$A:$A,$B$6,Grades!$BW:$BW)=0,"-",IF(AND(VLOOKUP($B$6,Grades!$A:$BZ,77,FALSE)="YES",B32&gt;Thresholds_Rates!$C$14),"-",$C32*Thresholds_Rates!$F$14))))</f>
        <v>11326.896000000001</v>
      </c>
      <c r="H32" s="145">
        <f ca="1">IF($B32="","",IF(($C32-(Thresholds_Rates!$C$4*12))&lt;0,0,ROUND(($C32-(Thresholds_Rates!$C$4*12))*Thresholds_Rates!$C$7,0)))</f>
        <v>3853</v>
      </c>
      <c r="I32" s="145">
        <f ca="1">IF(B32="","",(C32*Thresholds_Rates!$C$9))</f>
        <v>185.08</v>
      </c>
      <c r="J32" s="145">
        <f ca="1">IF(B32="","",IF(SUMIF(Grades!$A:$A,$B$6,Grades!$BX:$BX)=0,"-",IF(AND(VLOOKUP($B$6,Grades!$A:$BZ,77,FALSE)="YES",B32&gt;Thresholds_Rates!$C$14),"-",$C32*Thresholds_Rates!$F$15)))</f>
        <v>5182.2400000000007</v>
      </c>
      <c r="K32" s="145"/>
      <c r="L32" s="145" t="str">
        <f t="shared" ca="1" si="0"/>
        <v>-</v>
      </c>
      <c r="M32" s="145" t="str">
        <f t="shared" ca="1" si="1"/>
        <v>-</v>
      </c>
      <c r="N32" s="145">
        <f t="shared" ca="1" si="2"/>
        <v>52380.976000000002</v>
      </c>
      <c r="O32" s="145">
        <f t="shared" ca="1" si="3"/>
        <v>46236.32</v>
      </c>
      <c r="P32" s="145">
        <f t="shared" ca="1" si="4"/>
        <v>41054.080000000002</v>
      </c>
      <c r="Q32" s="219"/>
      <c r="R32" s="106" t="str">
        <f ca="1">IF(OR($B32="",$C$13="Salary"),"",SUMIF(INDIRECT("'Points Lookup'!"&amp;VLOOKUP($B$6,Grades!$A:$BZ,3,FALSE)&amp;":"&amp;VLOOKUP($B$6,Grades!$A:$BZ,3,FALSE)),$B32,OFFSET(INDIRECT("'Points Lookup'!"&amp;VLOOKUP($B$6,Grades!$A:$BZ,3,FALSE)&amp;":"&amp;VLOOKUP($B$6,Grades!$A:$BZ,3,FALSE)),0,1)))</f>
        <v/>
      </c>
      <c r="S32" s="107" t="str">
        <f ca="1">IF(OR($B32="",$C$13="Salary"),"",$C32-SUMIF(INDIRECT("'Points Lookup'!"&amp;VLOOKUP($B$6,Grades!$A:$BZ,3,FALSE)&amp;":"&amp;VLOOKUP($B$6,Grades!$A:$BZ,3,FALSE)),$B32,OFFSET(INDIRECT("'Points Lookup'!"&amp;VLOOKUP($B$6,Grades!$A:$BZ,3,FALSE)&amp;":"&amp;VLOOKUP($B$6,Grades!$A:$BZ,3,FALSE)),0,2)))</f>
        <v/>
      </c>
      <c r="T32" s="106" t="str">
        <f ca="1">IF(OR($B32="",$C$13="Salary"),"",SUMIF(INDIRECT("'Points Lookup'!"&amp;VLOOKUP($B$6,Grades!$A:$BZ,3,FALSE)&amp;":"&amp;VLOOKUP($B$6,Grades!$A:$BZ,3,FALSE)),$B32,OFFSET(INDIRECT("'Points Lookup'!"&amp;VLOOKUP($B$6,Grades!$A:$BZ,3,FALSE)&amp;":"&amp;VLOOKUP($B$6,Grades!$A:$BZ,3,FALSE)),0,4)))</f>
        <v/>
      </c>
      <c r="U32" s="107" t="str">
        <f t="shared" ca="1" si="5"/>
        <v/>
      </c>
    </row>
    <row r="33" spans="2:21" x14ac:dyDescent="0.35">
      <c r="B33" s="36">
        <f ca="1">IFERROR(INDEX('Points Lookup'!$A:$A,MATCH(ROW()-13,'Points Lookup'!$AN:$AN,0)),"")</f>
        <v>29</v>
      </c>
      <c r="C33" s="145">
        <f ca="1">(IF(B33="","",$C$10*SUMIF(INDIRECT("'Points Lookup'!"&amp;VLOOKUP($B$6,Grades!A:BZ,3,FALSE)&amp;":"&amp;VLOOKUP($B$6,Grades!A:BZ,3,FALSE)),B33,INDIRECT("'Points Lookup'!"&amp;VLOOKUP($B$6,Grades!A:BZ,4,FALSE)&amp;":"&amp;VLOOKUP($B$6,Grades!A:Z,4,FALSE)))))</f>
        <v>38121</v>
      </c>
      <c r="D33" s="145"/>
      <c r="E33" s="145" t="str">
        <f ca="1">IF($B33="","",IF(SUMIF(Grades!$A:$A,$B$6,Grades!$BU:$BU)=0,"-",IF(AND(VLOOKUP($B$6,Grades!$A:$BZ,77,FALSE)="YES",B33&lt;Thresholds_Rates!$C$13),"-",$C33*Thresholds_Rates!$F$12)))</f>
        <v>-</v>
      </c>
      <c r="F33" s="145" t="str">
        <f ca="1">IF(B33="","",IF(SUMIF(Grades!$A:$A,$B$6,Grades!$BV:$BV)=0,"-",$C33*Thresholds_Rates!$F$13))</f>
        <v>-</v>
      </c>
      <c r="G33" s="145">
        <f ca="1">IF(B33="","",IF($B$6="Apprenticeship","-",IF(SUMIF(Grades!$A:$A,$B$6,Grades!$BW:$BW)=0,"-",IF(AND(VLOOKUP($B$6,Grades!$A:$BZ,77,FALSE)="YES",B33&gt;Thresholds_Rates!$C$14),"-",$C33*Thresholds_Rates!$F$14))))</f>
        <v>11665.026</v>
      </c>
      <c r="H33" s="145">
        <f ca="1">IF($B33="","",IF(($C33-(Thresholds_Rates!$C$4*12))&lt;0,0,ROUND(($C33-(Thresholds_Rates!$C$4*12))*Thresholds_Rates!$C$7,0)))</f>
        <v>4005</v>
      </c>
      <c r="I33" s="145">
        <f ca="1">IF(B33="","",(C33*Thresholds_Rates!$C$9))</f>
        <v>190.60499999999999</v>
      </c>
      <c r="J33" s="145">
        <f ca="1">IF(B33="","",IF(SUMIF(Grades!$A:$A,$B$6,Grades!$BX:$BX)=0,"-",IF(AND(VLOOKUP($B$6,Grades!$A:$BZ,77,FALSE)="YES",B33&gt;Thresholds_Rates!$C$14),"-",$C33*Thresholds_Rates!$F$15)))</f>
        <v>5336.9400000000005</v>
      </c>
      <c r="K33" s="145"/>
      <c r="L33" s="145" t="str">
        <f t="shared" ca="1" si="0"/>
        <v>-</v>
      </c>
      <c r="M33" s="145" t="str">
        <f t="shared" ca="1" si="1"/>
        <v>-</v>
      </c>
      <c r="N33" s="145">
        <f t="shared" ca="1" si="2"/>
        <v>53981.631000000001</v>
      </c>
      <c r="O33" s="145">
        <f t="shared" ca="1" si="3"/>
        <v>47653.545000000006</v>
      </c>
      <c r="P33" s="145">
        <f t="shared" ca="1" si="4"/>
        <v>42316.605000000003</v>
      </c>
      <c r="Q33" s="219"/>
      <c r="R33" s="106" t="str">
        <f ca="1">IF(OR($B33="",$C$13="Salary"),"",SUMIF(INDIRECT("'Points Lookup'!"&amp;VLOOKUP($B$6,Grades!$A:$BZ,3,FALSE)&amp;":"&amp;VLOOKUP($B$6,Grades!$A:$BZ,3,FALSE)),$B33,OFFSET(INDIRECT("'Points Lookup'!"&amp;VLOOKUP($B$6,Grades!$A:$BZ,3,FALSE)&amp;":"&amp;VLOOKUP($B$6,Grades!$A:$BZ,3,FALSE)),0,1)))</f>
        <v/>
      </c>
      <c r="S33" s="107" t="str">
        <f ca="1">IF(OR($B33="",$C$13="Salary"),"",$C33-SUMIF(INDIRECT("'Points Lookup'!"&amp;VLOOKUP($B$6,Grades!$A:$BZ,3,FALSE)&amp;":"&amp;VLOOKUP($B$6,Grades!$A:$BZ,3,FALSE)),$B33,OFFSET(INDIRECT("'Points Lookup'!"&amp;VLOOKUP($B$6,Grades!$A:$BZ,3,FALSE)&amp;":"&amp;VLOOKUP($B$6,Grades!$A:$BZ,3,FALSE)),0,2)))</f>
        <v/>
      </c>
      <c r="T33" s="106" t="str">
        <f ca="1">IF(OR($B33="",$C$13="Salary"),"",SUMIF(INDIRECT("'Points Lookup'!"&amp;VLOOKUP($B$6,Grades!$A:$BZ,3,FALSE)&amp;":"&amp;VLOOKUP($B$6,Grades!$A:$BZ,3,FALSE)),$B33,OFFSET(INDIRECT("'Points Lookup'!"&amp;VLOOKUP($B$6,Grades!$A:$BZ,3,FALSE)&amp;":"&amp;VLOOKUP($B$6,Grades!$A:$BZ,3,FALSE)),0,4)))</f>
        <v/>
      </c>
      <c r="U33" s="107" t="str">
        <f t="shared" ca="1" si="5"/>
        <v/>
      </c>
    </row>
    <row r="34" spans="2:21" x14ac:dyDescent="0.35">
      <c r="B34" s="36">
        <f ca="1">IFERROR(INDEX('Points Lookup'!$A:$A,MATCH(ROW()-13,'Points Lookup'!$AN:$AN,0)),"")</f>
        <v>30</v>
      </c>
      <c r="C34" s="145">
        <f ca="1">(IF(B34="","",$C$10*SUMIF(INDIRECT("'Points Lookup'!"&amp;VLOOKUP($B$6,Grades!A:BZ,3,FALSE)&amp;":"&amp;VLOOKUP($B$6,Grades!A:BZ,3,FALSE)),B34,INDIRECT("'Points Lookup'!"&amp;VLOOKUP($B$6,Grades!A:BZ,4,FALSE)&amp;":"&amp;VLOOKUP($B$6,Grades!A:Z,4,FALSE)))))</f>
        <v>39260</v>
      </c>
      <c r="D34" s="145"/>
      <c r="E34" s="145" t="str">
        <f ca="1">IF($B34="","",IF(SUMIF(Grades!$A:$A,$B$6,Grades!$BU:$BU)=0,"-",IF(AND(VLOOKUP($B$6,Grades!$A:$BZ,77,FALSE)="YES",B34&lt;Thresholds_Rates!$C$13),"-",$C34*Thresholds_Rates!$F$12)))</f>
        <v>-</v>
      </c>
      <c r="F34" s="145" t="str">
        <f ca="1">IF(B34="","",IF(SUMIF(Grades!$A:$A,$B$6,Grades!$BV:$BV)=0,"-",$C34*Thresholds_Rates!$F$13))</f>
        <v>-</v>
      </c>
      <c r="G34" s="145">
        <f ca="1">IF(B34="","",IF($B$6="Apprenticeship","-",IF(SUMIF(Grades!$A:$A,$B$6,Grades!$BW:$BW)=0,"-",IF(AND(VLOOKUP($B$6,Grades!$A:$BZ,77,FALSE)="YES",B34&gt;Thresholds_Rates!$C$14),"-",$C34*Thresholds_Rates!$F$14))))</f>
        <v>12013.56</v>
      </c>
      <c r="H34" s="145">
        <f ca="1">IF($B34="","",IF(($C34-(Thresholds_Rates!$C$4*12))&lt;0,0,ROUND(($C34-(Thresholds_Rates!$C$4*12))*Thresholds_Rates!$C$7,0)))</f>
        <v>4163</v>
      </c>
      <c r="I34" s="145">
        <f ca="1">IF(B34="","",(C34*Thresholds_Rates!$C$9))</f>
        <v>196.3</v>
      </c>
      <c r="J34" s="145">
        <f ca="1">IF(B34="","",IF(SUMIF(Grades!$A:$A,$B$6,Grades!$BX:$BX)=0,"-",IF(AND(VLOOKUP($B$6,Grades!$A:$BZ,77,FALSE)="YES",B34&gt;Thresholds_Rates!$C$14),"-",$C34*Thresholds_Rates!$F$15)))</f>
        <v>5496.4000000000005</v>
      </c>
      <c r="K34" s="145"/>
      <c r="L34" s="145" t="str">
        <f t="shared" ca="1" si="0"/>
        <v>-</v>
      </c>
      <c r="M34" s="145" t="str">
        <f t="shared" ca="1" si="1"/>
        <v>-</v>
      </c>
      <c r="N34" s="145">
        <f t="shared" ca="1" si="2"/>
        <v>55632.86</v>
      </c>
      <c r="O34" s="145">
        <f t="shared" ca="1" si="3"/>
        <v>49115.700000000004</v>
      </c>
      <c r="P34" s="145">
        <f t="shared" ca="1" si="4"/>
        <v>43619.3</v>
      </c>
      <c r="Q34" s="219"/>
      <c r="R34" s="106" t="str">
        <f ca="1">IF(OR($B34="",$C$13="Salary"),"",SUMIF(INDIRECT("'Points Lookup'!"&amp;VLOOKUP($B$6,Grades!$A:$BZ,3,FALSE)&amp;":"&amp;VLOOKUP($B$6,Grades!$A:$BZ,3,FALSE)),$B34,OFFSET(INDIRECT("'Points Lookup'!"&amp;VLOOKUP($B$6,Grades!$A:$BZ,3,FALSE)&amp;":"&amp;VLOOKUP($B$6,Grades!$A:$BZ,3,FALSE)),0,1)))</f>
        <v/>
      </c>
      <c r="S34" s="107" t="str">
        <f ca="1">IF(OR($B34="",$C$13="Salary"),"",$C34-SUMIF(INDIRECT("'Points Lookup'!"&amp;VLOOKUP($B$6,Grades!$A:$BZ,3,FALSE)&amp;":"&amp;VLOOKUP($B$6,Grades!$A:$BZ,3,FALSE)),$B34,OFFSET(INDIRECT("'Points Lookup'!"&amp;VLOOKUP($B$6,Grades!$A:$BZ,3,FALSE)&amp;":"&amp;VLOOKUP($B$6,Grades!$A:$BZ,3,FALSE)),0,2)))</f>
        <v/>
      </c>
      <c r="T34" s="106" t="str">
        <f ca="1">IF(OR($B34="",$C$13="Salary"),"",SUMIF(INDIRECT("'Points Lookup'!"&amp;VLOOKUP($B$6,Grades!$A:$BZ,3,FALSE)&amp;":"&amp;VLOOKUP($B$6,Grades!$A:$BZ,3,FALSE)),$B34,OFFSET(INDIRECT("'Points Lookup'!"&amp;VLOOKUP($B$6,Grades!$A:$BZ,3,FALSE)&amp;":"&amp;VLOOKUP($B$6,Grades!$A:$BZ,3,FALSE)),0,4)))</f>
        <v/>
      </c>
      <c r="U34" s="107" t="str">
        <f t="shared" ca="1" si="5"/>
        <v/>
      </c>
    </row>
    <row r="35" spans="2:21" x14ac:dyDescent="0.35">
      <c r="B35" s="36" t="str">
        <f ca="1">IFERROR(INDEX('Points Lookup'!$A:$A,MATCH(ROW()-13,'Points Lookup'!$AN:$AN,0)),"")</f>
        <v/>
      </c>
      <c r="C35" s="145" t="str">
        <f ca="1">(IF(B35="","",$C$10*SUMIF(INDIRECT("'Points Lookup'!"&amp;VLOOKUP($B$6,Grades!A:BZ,3,FALSE)&amp;":"&amp;VLOOKUP($B$6,Grades!A:BZ,3,FALSE)),B35,INDIRECT("'Points Lookup'!"&amp;VLOOKUP($B$6,Grades!A:BZ,4,FALSE)&amp;":"&amp;VLOOKUP($B$6,Grades!A:Z,4,FALSE)))))</f>
        <v/>
      </c>
      <c r="D35" s="145"/>
      <c r="E35" s="145" t="str">
        <f ca="1">IF($B35="","",IF(SUMIF(Grades!$A:$A,$B$6,Grades!$BU:$BU)=0,"-",IF(AND(VLOOKUP($B$6,Grades!$A:$BZ,77,FALSE)="YES",B35&lt;Thresholds_Rates!$C$13),"-",$C35*Thresholds_Rates!$F$12)))</f>
        <v/>
      </c>
      <c r="F35" s="145" t="str">
        <f ca="1">IF(B35="","",IF(SUMIF(Grades!$A:$A,$B$6,Grades!$BV:$BV)=0,"-",$C35*Thresholds_Rates!$F$13))</f>
        <v/>
      </c>
      <c r="G35" s="145" t="str">
        <f ca="1">IF(B35="","",IF($B$6="Apprenticeship","-",IF(SUMIF(Grades!$A:$A,$B$6,Grades!$BW:$BW)=0,"-",IF(AND(VLOOKUP($B$6,Grades!$A:$BZ,77,FALSE)="YES",B35&gt;Thresholds_Rates!$C$14),"-",$C35*Thresholds_Rates!$F$14))))</f>
        <v/>
      </c>
      <c r="H35" s="145" t="str">
        <f ca="1">IF($B35="","",IF(($C35-(Thresholds_Rates!$C$4*12))&lt;0,0,ROUND(($C35-(Thresholds_Rates!$C$4*12))*Thresholds_Rates!$C$7,0)))</f>
        <v/>
      </c>
      <c r="I35" s="145" t="str">
        <f ca="1">IF(B35="","",(C35*Thresholds_Rates!$C$9))</f>
        <v/>
      </c>
      <c r="J35" s="145" t="str">
        <f ca="1">IF(B35="","",IF(SUMIF(Grades!$A:$A,$B$6,Grades!$BX:$BX)=0,"-",IF(AND(VLOOKUP($B$6,Grades!$A:$BZ,77,FALSE)="YES",B35&gt;Thresholds_Rates!$C$14),"-",$C35*Thresholds_Rates!$F$15)))</f>
        <v/>
      </c>
      <c r="K35" s="145"/>
      <c r="L35" s="145" t="str">
        <f t="shared" ca="1" si="0"/>
        <v/>
      </c>
      <c r="M35" s="145" t="str">
        <f t="shared" ca="1" si="1"/>
        <v/>
      </c>
      <c r="N35" s="145" t="str">
        <f t="shared" ca="1" si="2"/>
        <v/>
      </c>
      <c r="O35" s="145" t="str">
        <f t="shared" ca="1" si="3"/>
        <v/>
      </c>
      <c r="P35" s="145" t="str">
        <f t="shared" ca="1" si="4"/>
        <v/>
      </c>
      <c r="Q35" s="219"/>
      <c r="R35" s="106" t="str">
        <f ca="1">IF(OR($B35="",$C$13="Salary"),"",SUMIF(INDIRECT("'Points Lookup'!"&amp;VLOOKUP($B$6,Grades!$A:$BZ,3,FALSE)&amp;":"&amp;VLOOKUP($B$6,Grades!$A:$BZ,3,FALSE)),$B35,OFFSET(INDIRECT("'Points Lookup'!"&amp;VLOOKUP($B$6,Grades!$A:$BZ,3,FALSE)&amp;":"&amp;VLOOKUP($B$6,Grades!$A:$BZ,3,FALSE)),0,1)))</f>
        <v/>
      </c>
      <c r="S35" s="107" t="str">
        <f ca="1">IF(OR($B35="",$C$13="Salary"),"",$C35-SUMIF(INDIRECT("'Points Lookup'!"&amp;VLOOKUP($B$6,Grades!$A:$BZ,3,FALSE)&amp;":"&amp;VLOOKUP($B$6,Grades!$A:$BZ,3,FALSE)),$B35,OFFSET(INDIRECT("'Points Lookup'!"&amp;VLOOKUP($B$6,Grades!$A:$BZ,3,FALSE)&amp;":"&amp;VLOOKUP($B$6,Grades!$A:$BZ,3,FALSE)),0,2)))</f>
        <v/>
      </c>
      <c r="T35" s="106" t="str">
        <f ca="1">IF(OR($B35="",$C$13="Salary"),"",SUMIF(INDIRECT("'Points Lookup'!"&amp;VLOOKUP($B$6,Grades!$A:$BZ,3,FALSE)&amp;":"&amp;VLOOKUP($B$6,Grades!$A:$BZ,3,FALSE)),$B35,OFFSET(INDIRECT("'Points Lookup'!"&amp;VLOOKUP($B$6,Grades!$A:$BZ,3,FALSE)&amp;":"&amp;VLOOKUP($B$6,Grades!$A:$BZ,3,FALSE)),0,4)))</f>
        <v/>
      </c>
      <c r="U35" s="107" t="str">
        <f t="shared" ca="1" si="5"/>
        <v/>
      </c>
    </row>
    <row r="36" spans="2:21" x14ac:dyDescent="0.35">
      <c r="B36" s="36" t="str">
        <f ca="1">IFERROR(INDEX('Points Lookup'!$A:$A,MATCH(ROW()-13,'Points Lookup'!$AN:$AN,0)),"")</f>
        <v/>
      </c>
      <c r="C36" s="145" t="str">
        <f ca="1">(IF(B36="","",$C$10*SUMIF(INDIRECT("'Points Lookup'!"&amp;VLOOKUP($B$6,Grades!A:BZ,3,FALSE)&amp;":"&amp;VLOOKUP($B$6,Grades!A:BZ,3,FALSE)),B36,INDIRECT("'Points Lookup'!"&amp;VLOOKUP($B$6,Grades!A:BZ,4,FALSE)&amp;":"&amp;VLOOKUP($B$6,Grades!A:Z,4,FALSE)))))</f>
        <v/>
      </c>
      <c r="D36" s="145"/>
      <c r="E36" s="145" t="str">
        <f ca="1">IF($B36="","",IF(SUMIF(Grades!$A:$A,$B$6,Grades!$BU:$BU)=0,"-",IF(AND(VLOOKUP($B$6,Grades!$A:$BZ,77,FALSE)="YES",B36&lt;Thresholds_Rates!$C$13),"-",$C36*Thresholds_Rates!$F$12)))</f>
        <v/>
      </c>
      <c r="F36" s="145" t="str">
        <f ca="1">IF(B36="","",IF(SUMIF(Grades!$A:$A,$B$6,Grades!$BV:$BV)=0,"-",$C36*Thresholds_Rates!$F$13))</f>
        <v/>
      </c>
      <c r="G36" s="145" t="str">
        <f ca="1">IF(B36="","",IF($B$6="Apprenticeship","-",IF(SUMIF(Grades!$A:$A,$B$6,Grades!$BW:$BW)=0,"-",IF(AND(VLOOKUP($B$6,Grades!$A:$BZ,77,FALSE)="YES",B36&gt;Thresholds_Rates!$C$14),"-",$C36*Thresholds_Rates!$F$14))))</f>
        <v/>
      </c>
      <c r="H36" s="145" t="str">
        <f ca="1">IF($B36="","",IF(($C36-(Thresholds_Rates!$C$4*12))&lt;0,0,ROUND(($C36-(Thresholds_Rates!$C$4*12))*Thresholds_Rates!$C$7,0)))</f>
        <v/>
      </c>
      <c r="I36" s="145" t="str">
        <f ca="1">IF(B36="","",(C36*Thresholds_Rates!$C$9))</f>
        <v/>
      </c>
      <c r="J36" s="145" t="str">
        <f ca="1">IF(B36="","",IF(SUMIF(Grades!$A:$A,$B$6,Grades!$BX:$BX)=0,"-",IF(AND(VLOOKUP($B$6,Grades!$A:$BZ,77,FALSE)="YES",B36&gt;Thresholds_Rates!$C$14),"-",$C36*Thresholds_Rates!$F$15)))</f>
        <v/>
      </c>
      <c r="K36" s="145"/>
      <c r="L36" s="145" t="str">
        <f t="shared" ca="1" si="0"/>
        <v/>
      </c>
      <c r="M36" s="145" t="str">
        <f t="shared" ca="1" si="1"/>
        <v/>
      </c>
      <c r="N36" s="145" t="str">
        <f t="shared" ca="1" si="2"/>
        <v/>
      </c>
      <c r="O36" s="145" t="str">
        <f t="shared" ca="1" si="3"/>
        <v/>
      </c>
      <c r="P36" s="145" t="str">
        <f t="shared" ca="1" si="4"/>
        <v/>
      </c>
      <c r="Q36" s="219"/>
      <c r="R36" s="106" t="str">
        <f ca="1">IF(OR($B36="",$C$13="Salary"),"",SUMIF(INDIRECT("'Points Lookup'!"&amp;VLOOKUP($B$6,Grades!$A:$BZ,3,FALSE)&amp;":"&amp;VLOOKUP($B$6,Grades!$A:$BZ,3,FALSE)),$B36,OFFSET(INDIRECT("'Points Lookup'!"&amp;VLOOKUP($B$6,Grades!$A:$BZ,3,FALSE)&amp;":"&amp;VLOOKUP($B$6,Grades!$A:$BZ,3,FALSE)),0,1)))</f>
        <v/>
      </c>
      <c r="S36" s="107" t="str">
        <f ca="1">IF(OR($B36="",$C$13="Salary"),"",$C36-SUMIF(INDIRECT("'Points Lookup'!"&amp;VLOOKUP($B$6,Grades!$A:$BZ,3,FALSE)&amp;":"&amp;VLOOKUP($B$6,Grades!$A:$BZ,3,FALSE)),$B36,OFFSET(INDIRECT("'Points Lookup'!"&amp;VLOOKUP($B$6,Grades!$A:$BZ,3,FALSE)&amp;":"&amp;VLOOKUP($B$6,Grades!$A:$BZ,3,FALSE)),0,2)))</f>
        <v/>
      </c>
      <c r="T36" s="106" t="str">
        <f ca="1">IF(OR($B36="",$C$13="Salary"),"",SUMIF(INDIRECT("'Points Lookup'!"&amp;VLOOKUP($B$6,Grades!$A:$BZ,3,FALSE)&amp;":"&amp;VLOOKUP($B$6,Grades!$A:$BZ,3,FALSE)),$B36,OFFSET(INDIRECT("'Points Lookup'!"&amp;VLOOKUP($B$6,Grades!$A:$BZ,3,FALSE)&amp;":"&amp;VLOOKUP($B$6,Grades!$A:$BZ,3,FALSE)),0,4)))</f>
        <v/>
      </c>
      <c r="U36" s="107" t="str">
        <f t="shared" ca="1" si="5"/>
        <v/>
      </c>
    </row>
    <row r="37" spans="2:21" x14ac:dyDescent="0.35">
      <c r="B37" s="36" t="str">
        <f ca="1">IFERROR(INDEX('Points Lookup'!$A:$A,MATCH(ROW()-13,'Points Lookup'!$AN:$AN,0)),"")</f>
        <v/>
      </c>
      <c r="C37" s="145" t="str">
        <f ca="1">(IF(B37="","",$C$10*SUMIF(INDIRECT("'Points Lookup'!"&amp;VLOOKUP($B$6,Grades!A:BZ,3,FALSE)&amp;":"&amp;VLOOKUP($B$6,Grades!A:BZ,3,FALSE)),B37,INDIRECT("'Points Lookup'!"&amp;VLOOKUP($B$6,Grades!A:BZ,4,FALSE)&amp;":"&amp;VLOOKUP($B$6,Grades!A:Z,4,FALSE)))))</f>
        <v/>
      </c>
      <c r="D37" s="145"/>
      <c r="E37" s="145" t="str">
        <f ca="1">IF($B37="","",IF(SUMIF(Grades!$A:$A,$B$6,Grades!$BU:$BU)=0,"-",IF(AND(VLOOKUP($B$6,Grades!$A:$BZ,77,FALSE)="YES",B37&lt;Thresholds_Rates!$C$13),"-",$C37*Thresholds_Rates!$F$12)))</f>
        <v/>
      </c>
      <c r="F37" s="145" t="str">
        <f ca="1">IF(B37="","",IF(SUMIF(Grades!$A:$A,$B$6,Grades!$BV:$BV)=0,"-",$C37*Thresholds_Rates!$F$13))</f>
        <v/>
      </c>
      <c r="G37" s="145" t="str">
        <f ca="1">IF(B37="","",IF($B$6="Apprenticeship","-",IF(SUMIF(Grades!$A:$A,$B$6,Grades!$BW:$BW)=0,"-",IF(AND(VLOOKUP($B$6,Grades!$A:$BZ,77,FALSE)="YES",B37&gt;Thresholds_Rates!$C$14),"-",$C37*Thresholds_Rates!$F$14))))</f>
        <v/>
      </c>
      <c r="H37" s="145" t="str">
        <f ca="1">IF($B37="","",IF(($C37-(Thresholds_Rates!$C$4*12))&lt;0,0,ROUND(($C37-(Thresholds_Rates!$C$4*12))*Thresholds_Rates!$C$7,0)))</f>
        <v/>
      </c>
      <c r="I37" s="145" t="str">
        <f ca="1">IF(B37="","",(C37*Thresholds_Rates!$C$9))</f>
        <v/>
      </c>
      <c r="J37" s="145" t="str">
        <f ca="1">IF(B37="","",IF(SUMIF(Grades!$A:$A,$B$6,Grades!$BX:$BX)=0,"-",IF(AND(VLOOKUP($B$6,Grades!$A:$BZ,77,FALSE)="YES",B37&gt;Thresholds_Rates!$C$14),"-",$C37*Thresholds_Rates!$F$15)))</f>
        <v/>
      </c>
      <c r="K37" s="145"/>
      <c r="L37" s="145" t="str">
        <f t="shared" ca="1" si="0"/>
        <v/>
      </c>
      <c r="M37" s="145" t="str">
        <f t="shared" ca="1" si="1"/>
        <v/>
      </c>
      <c r="N37" s="145" t="str">
        <f t="shared" ca="1" si="2"/>
        <v/>
      </c>
      <c r="O37" s="145" t="str">
        <f t="shared" ca="1" si="3"/>
        <v/>
      </c>
      <c r="P37" s="145" t="str">
        <f t="shared" ca="1" si="4"/>
        <v/>
      </c>
      <c r="Q37" s="219"/>
      <c r="R37" s="106" t="str">
        <f ca="1">IF(OR($B37="",$C$13="Salary"),"",SUMIF(INDIRECT("'Points Lookup'!"&amp;VLOOKUP($B$6,Grades!$A:$BZ,3,FALSE)&amp;":"&amp;VLOOKUP($B$6,Grades!$A:$BZ,3,FALSE)),$B37,OFFSET(INDIRECT("'Points Lookup'!"&amp;VLOOKUP($B$6,Grades!$A:$BZ,3,FALSE)&amp;":"&amp;VLOOKUP($B$6,Grades!$A:$BZ,3,FALSE)),0,1)))</f>
        <v/>
      </c>
      <c r="S37" s="107" t="str">
        <f ca="1">IF(OR($B37="",$C$13="Salary"),"",$C37-SUMIF(INDIRECT("'Points Lookup'!"&amp;VLOOKUP($B$6,Grades!$A:$BZ,3,FALSE)&amp;":"&amp;VLOOKUP($B$6,Grades!$A:$BZ,3,FALSE)),$B37,OFFSET(INDIRECT("'Points Lookup'!"&amp;VLOOKUP($B$6,Grades!$A:$BZ,3,FALSE)&amp;":"&amp;VLOOKUP($B$6,Grades!$A:$BZ,3,FALSE)),0,2)))</f>
        <v/>
      </c>
      <c r="T37" s="106" t="str">
        <f ca="1">IF(OR($B37="",$C$13="Salary"),"",SUMIF(INDIRECT("'Points Lookup'!"&amp;VLOOKUP($B$6,Grades!$A:$BZ,3,FALSE)&amp;":"&amp;VLOOKUP($B$6,Grades!$A:$BZ,3,FALSE)),$B37,OFFSET(INDIRECT("'Points Lookup'!"&amp;VLOOKUP($B$6,Grades!$A:$BZ,3,FALSE)&amp;":"&amp;VLOOKUP($B$6,Grades!$A:$BZ,3,FALSE)),0,4)))</f>
        <v/>
      </c>
      <c r="U37" s="107" t="str">
        <f t="shared" ca="1" si="5"/>
        <v/>
      </c>
    </row>
    <row r="38" spans="2:21" x14ac:dyDescent="0.35">
      <c r="B38" s="36" t="str">
        <f ca="1">IFERROR(INDEX('Points Lookup'!$A:$A,MATCH(ROW()-13,'Points Lookup'!$AN:$AN,0)),"")</f>
        <v/>
      </c>
      <c r="C38" s="145" t="str">
        <f ca="1">(IF(B38="","",$C$10*SUMIF(INDIRECT("'Points Lookup'!"&amp;VLOOKUP($B$6,Grades!A:BZ,3,FALSE)&amp;":"&amp;VLOOKUP($B$6,Grades!A:BZ,3,FALSE)),B38,INDIRECT("'Points Lookup'!"&amp;VLOOKUP($B$6,Grades!A:BZ,4,FALSE)&amp;":"&amp;VLOOKUP($B$6,Grades!A:Z,4,FALSE)))))</f>
        <v/>
      </c>
      <c r="D38" s="145"/>
      <c r="E38" s="145" t="str">
        <f ca="1">IF($B38="","",IF(SUMIF(Grades!$A:$A,$B$6,Grades!$BU:$BU)=0,"-",IF(AND(VLOOKUP($B$6,Grades!$A:$BZ,77,FALSE)="YES",B38&lt;Thresholds_Rates!$C$13),"-",$C38*Thresholds_Rates!$F$12)))</f>
        <v/>
      </c>
      <c r="F38" s="145" t="str">
        <f ca="1">IF(B38="","",IF(SUMIF(Grades!$A:$A,$B$6,Grades!$BV:$BV)=0,"-",$C38*Thresholds_Rates!$F$13))</f>
        <v/>
      </c>
      <c r="G38" s="145" t="str">
        <f ca="1">IF(B38="","",IF($B$6="Apprenticeship","-",IF(SUMIF(Grades!$A:$A,$B$6,Grades!$BW:$BW)=0,"-",IF(AND(VLOOKUP($B$6,Grades!$A:$BZ,77,FALSE)="YES",B38&gt;Thresholds_Rates!$C$14),"-",$C38*Thresholds_Rates!$F$14))))</f>
        <v/>
      </c>
      <c r="H38" s="145" t="str">
        <f ca="1">IF($B38="","",IF(($C38-(Thresholds_Rates!$C$4*12))&lt;0,0,ROUND(($C38-(Thresholds_Rates!$C$4*12))*Thresholds_Rates!$C$7,0)))</f>
        <v/>
      </c>
      <c r="I38" s="145" t="str">
        <f ca="1">IF(B38="","",(C38*Thresholds_Rates!$C$9))</f>
        <v/>
      </c>
      <c r="J38" s="145" t="str">
        <f ca="1">IF(B38="","",IF(SUMIF(Grades!$A:$A,$B$6,Grades!$BX:$BX)=0,"-",IF(AND(VLOOKUP($B$6,Grades!$A:$BZ,77,FALSE)="YES",B38&gt;Thresholds_Rates!$C$14),"-",$C38*Thresholds_Rates!$F$15)))</f>
        <v/>
      </c>
      <c r="K38" s="145"/>
      <c r="L38" s="145" t="str">
        <f t="shared" ca="1" si="0"/>
        <v/>
      </c>
      <c r="M38" s="145" t="str">
        <f t="shared" ca="1" si="1"/>
        <v/>
      </c>
      <c r="N38" s="145" t="str">
        <f t="shared" ca="1" si="2"/>
        <v/>
      </c>
      <c r="O38" s="145" t="str">
        <f t="shared" ca="1" si="3"/>
        <v/>
      </c>
      <c r="P38" s="145" t="str">
        <f t="shared" ca="1" si="4"/>
        <v/>
      </c>
      <c r="Q38" s="219"/>
      <c r="R38" s="106" t="str">
        <f ca="1">IF(OR($B38="",$C$13="Salary"),"",SUMIF(INDIRECT("'Points Lookup'!"&amp;VLOOKUP($B$6,Grades!$A:$BZ,3,FALSE)&amp;":"&amp;VLOOKUP($B$6,Grades!$A:$BZ,3,FALSE)),$B38,OFFSET(INDIRECT("'Points Lookup'!"&amp;VLOOKUP($B$6,Grades!$A:$BZ,3,FALSE)&amp;":"&amp;VLOOKUP($B$6,Grades!$A:$BZ,3,FALSE)),0,1)))</f>
        <v/>
      </c>
      <c r="S38" s="107" t="str">
        <f ca="1">IF(OR($B38="",$C$13="Salary"),"",$C38-SUMIF(INDIRECT("'Points Lookup'!"&amp;VLOOKUP($B$6,Grades!$A:$BZ,3,FALSE)&amp;":"&amp;VLOOKUP($B$6,Grades!$A:$BZ,3,FALSE)),$B38,OFFSET(INDIRECT("'Points Lookup'!"&amp;VLOOKUP($B$6,Grades!$A:$BZ,3,FALSE)&amp;":"&amp;VLOOKUP($B$6,Grades!$A:$BZ,3,FALSE)),0,2)))</f>
        <v/>
      </c>
      <c r="T38" s="106" t="str">
        <f ca="1">IF(OR($B38="",$C$13="Salary"),"",SUMIF(INDIRECT("'Points Lookup'!"&amp;VLOOKUP($B$6,Grades!$A:$BZ,3,FALSE)&amp;":"&amp;VLOOKUP($B$6,Grades!$A:$BZ,3,FALSE)),$B38,OFFSET(INDIRECT("'Points Lookup'!"&amp;VLOOKUP($B$6,Grades!$A:$BZ,3,FALSE)&amp;":"&amp;VLOOKUP($B$6,Grades!$A:$BZ,3,FALSE)),0,4)))</f>
        <v/>
      </c>
      <c r="U38" s="107" t="str">
        <f t="shared" ca="1" si="5"/>
        <v/>
      </c>
    </row>
    <row r="39" spans="2:21" x14ac:dyDescent="0.35">
      <c r="B39" s="36" t="str">
        <f ca="1">IFERROR(INDEX('Points Lookup'!$A:$A,MATCH(ROW()-13,'Points Lookup'!$AN:$AN,0)),"")</f>
        <v/>
      </c>
      <c r="C39" s="145" t="str">
        <f ca="1">(IF(B39="","",$C$10*SUMIF(INDIRECT("'Points Lookup'!"&amp;VLOOKUP($B$6,Grades!A:BZ,3,FALSE)&amp;":"&amp;VLOOKUP($B$6,Grades!A:BZ,3,FALSE)),B39,INDIRECT("'Points Lookup'!"&amp;VLOOKUP($B$6,Grades!A:BZ,4,FALSE)&amp;":"&amp;VLOOKUP($B$6,Grades!A:Z,4,FALSE)))))</f>
        <v/>
      </c>
      <c r="D39" s="145"/>
      <c r="E39" s="145" t="str">
        <f ca="1">IF($B39="","",IF(SUMIF(Grades!$A:$A,$B$6,Grades!$BU:$BU)=0,"-",IF(AND(VLOOKUP($B$6,Grades!$A:$BZ,77,FALSE)="YES",B39&lt;Thresholds_Rates!$C$13),"-",$C39*Thresholds_Rates!$F$12)))</f>
        <v/>
      </c>
      <c r="F39" s="145" t="str">
        <f ca="1">IF(B39="","",IF(SUMIF(Grades!$A:$A,$B$6,Grades!$BV:$BV)=0,"-",$C39*Thresholds_Rates!$F$13))</f>
        <v/>
      </c>
      <c r="G39" s="145" t="str">
        <f ca="1">IF(B39="","",IF($B$6="Apprenticeship","-",IF(SUMIF(Grades!$A:$A,$B$6,Grades!$BW:$BW)=0,"-",IF(AND(VLOOKUP($B$6,Grades!$A:$BZ,77,FALSE)="YES",B39&gt;Thresholds_Rates!$C$14),"-",$C39*Thresholds_Rates!$F$14))))</f>
        <v/>
      </c>
      <c r="H39" s="145" t="str">
        <f ca="1">IF($B39="","",IF(($C39-(Thresholds_Rates!$C$4*12))&lt;0,0,ROUND(($C39-(Thresholds_Rates!$C$4*12))*Thresholds_Rates!$C$7,0)))</f>
        <v/>
      </c>
      <c r="I39" s="145" t="str">
        <f ca="1">IF(B39="","",(C39*Thresholds_Rates!$C$9))</f>
        <v/>
      </c>
      <c r="J39" s="145" t="str">
        <f ca="1">IF(B39="","",IF(SUMIF(Grades!$A:$A,$B$6,Grades!$BX:$BX)=0,"-",IF(AND(VLOOKUP($B$6,Grades!$A:$BZ,77,FALSE)="YES",B39&gt;Thresholds_Rates!$C$14),"-",$C39*Thresholds_Rates!$F$15)))</f>
        <v/>
      </c>
      <c r="K39" s="145"/>
      <c r="L39" s="145" t="str">
        <f t="shared" ca="1" si="0"/>
        <v/>
      </c>
      <c r="M39" s="145" t="str">
        <f t="shared" ca="1" si="1"/>
        <v/>
      </c>
      <c r="N39" s="145" t="str">
        <f t="shared" ca="1" si="2"/>
        <v/>
      </c>
      <c r="O39" s="145" t="str">
        <f t="shared" ca="1" si="3"/>
        <v/>
      </c>
      <c r="P39" s="145" t="str">
        <f t="shared" ca="1" si="4"/>
        <v/>
      </c>
      <c r="Q39" s="219"/>
      <c r="R39" s="106" t="str">
        <f ca="1">IF(OR($B39="",$C$13="Salary"),"",SUMIF(INDIRECT("'Points Lookup'!"&amp;VLOOKUP($B$6,Grades!$A:$BZ,3,FALSE)&amp;":"&amp;VLOOKUP($B$6,Grades!$A:$BZ,3,FALSE)),$B39,OFFSET(INDIRECT("'Points Lookup'!"&amp;VLOOKUP($B$6,Grades!$A:$BZ,3,FALSE)&amp;":"&amp;VLOOKUP($B$6,Grades!$A:$BZ,3,FALSE)),0,1)))</f>
        <v/>
      </c>
      <c r="S39" s="107" t="str">
        <f ca="1">IF(OR($B39="",$C$13="Salary"),"",$C39-SUMIF(INDIRECT("'Points Lookup'!"&amp;VLOOKUP($B$6,Grades!$A:$BZ,3,FALSE)&amp;":"&amp;VLOOKUP($B$6,Grades!$A:$BZ,3,FALSE)),$B39,OFFSET(INDIRECT("'Points Lookup'!"&amp;VLOOKUP($B$6,Grades!$A:$BZ,3,FALSE)&amp;":"&amp;VLOOKUP($B$6,Grades!$A:$BZ,3,FALSE)),0,2)))</f>
        <v/>
      </c>
      <c r="T39" s="106" t="str">
        <f ca="1">IF(OR($B39="",$C$13="Salary"),"",SUMIF(INDIRECT("'Points Lookup'!"&amp;VLOOKUP($B$6,Grades!$A:$BZ,3,FALSE)&amp;":"&amp;VLOOKUP($B$6,Grades!$A:$BZ,3,FALSE)),$B39,OFFSET(INDIRECT("'Points Lookup'!"&amp;VLOOKUP($B$6,Grades!$A:$BZ,3,FALSE)&amp;":"&amp;VLOOKUP($B$6,Grades!$A:$BZ,3,FALSE)),0,4)))</f>
        <v/>
      </c>
      <c r="U39" s="107" t="str">
        <f t="shared" ca="1" si="5"/>
        <v/>
      </c>
    </row>
    <row r="40" spans="2:21" x14ac:dyDescent="0.35">
      <c r="B40" s="36" t="str">
        <f ca="1">IFERROR(INDEX('Points Lookup'!$A:$A,MATCH(ROW()-13,'Points Lookup'!$AN:$AN,0)),"")</f>
        <v/>
      </c>
      <c r="C40" s="145" t="str">
        <f ca="1">(IF(B40="","",$C$10*SUMIF(INDIRECT("'Points Lookup'!"&amp;VLOOKUP($B$6,Grades!A:BZ,3,FALSE)&amp;":"&amp;VLOOKUP($B$6,Grades!A:BZ,3,FALSE)),B40,INDIRECT("'Points Lookup'!"&amp;VLOOKUP($B$6,Grades!A:BZ,4,FALSE)&amp;":"&amp;VLOOKUP($B$6,Grades!A:Z,4,FALSE)))))</f>
        <v/>
      </c>
      <c r="D40" s="145"/>
      <c r="E40" s="145" t="str">
        <f ca="1">IF($B40="","",IF(SUMIF(Grades!$A:$A,$B$6,Grades!$BU:$BU)=0,"-",IF(AND(VLOOKUP($B$6,Grades!$A:$BZ,77,FALSE)="YES",B40&lt;Thresholds_Rates!$C$13),"-",$C40*Thresholds_Rates!$F$12)))</f>
        <v/>
      </c>
      <c r="F40" s="145" t="str">
        <f ca="1">IF(B40="","",IF(SUMIF(Grades!$A:$A,$B$6,Grades!$BV:$BV)=0,"-",$C40*Thresholds_Rates!$F$13))</f>
        <v/>
      </c>
      <c r="G40" s="145" t="str">
        <f ca="1">IF(B40="","",IF($B$6="Apprenticeship","-",IF(SUMIF(Grades!$A:$A,$B$6,Grades!$BW:$BW)=0,"-",IF(AND(VLOOKUP($B$6,Grades!$A:$BZ,77,FALSE)="YES",B40&gt;Thresholds_Rates!$C$14),"-",$C40*Thresholds_Rates!$F$14))))</f>
        <v/>
      </c>
      <c r="H40" s="145" t="str">
        <f ca="1">IF($B40="","",IF(($C40-(Thresholds_Rates!$C$4*12))&lt;0,0,ROUND(($C40-(Thresholds_Rates!$C$4*12))*Thresholds_Rates!$C$7,0)))</f>
        <v/>
      </c>
      <c r="I40" s="145" t="str">
        <f ca="1">IF(B40="","",(C40*Thresholds_Rates!$C$9))</f>
        <v/>
      </c>
      <c r="J40" s="145" t="str">
        <f ca="1">IF(B40="","",IF(SUMIF(Grades!$A:$A,$B$6,Grades!$BX:$BX)=0,"-",IF(AND(VLOOKUP($B$6,Grades!$A:$BZ,77,FALSE)="YES",B40&gt;Thresholds_Rates!$C$14),"-",$C40*Thresholds_Rates!$F$15)))</f>
        <v/>
      </c>
      <c r="K40" s="145"/>
      <c r="L40" s="145" t="str">
        <f t="shared" ca="1" si="0"/>
        <v/>
      </c>
      <c r="M40" s="145" t="str">
        <f t="shared" ca="1" si="1"/>
        <v/>
      </c>
      <c r="N40" s="145" t="str">
        <f t="shared" ca="1" si="2"/>
        <v/>
      </c>
      <c r="O40" s="145" t="str">
        <f t="shared" ca="1" si="3"/>
        <v/>
      </c>
      <c r="P40" s="145" t="str">
        <f t="shared" ca="1" si="4"/>
        <v/>
      </c>
      <c r="Q40" s="219"/>
      <c r="R40" s="106" t="str">
        <f ca="1">IF(OR($B40="",$C$13="Salary"),"",SUMIF(INDIRECT("'Points Lookup'!"&amp;VLOOKUP($B$6,Grades!$A:$BZ,3,FALSE)&amp;":"&amp;VLOOKUP($B$6,Grades!$A:$BZ,3,FALSE)),$B40,OFFSET(INDIRECT("'Points Lookup'!"&amp;VLOOKUP($B$6,Grades!$A:$BZ,3,FALSE)&amp;":"&amp;VLOOKUP($B$6,Grades!$A:$BZ,3,FALSE)),0,1)))</f>
        <v/>
      </c>
      <c r="S40" s="107" t="str">
        <f ca="1">IF(OR($B40="",$C$13="Salary"),"",$C40-SUMIF(INDIRECT("'Points Lookup'!"&amp;VLOOKUP($B$6,Grades!$A:$BZ,3,FALSE)&amp;":"&amp;VLOOKUP($B$6,Grades!$A:$BZ,3,FALSE)),$B40,OFFSET(INDIRECT("'Points Lookup'!"&amp;VLOOKUP($B$6,Grades!$A:$BZ,3,FALSE)&amp;":"&amp;VLOOKUP($B$6,Grades!$A:$BZ,3,FALSE)),0,2)))</f>
        <v/>
      </c>
      <c r="T40" s="106" t="str">
        <f ca="1">IF(OR($B40="",$C$13="Salary"),"",SUMIF(INDIRECT("'Points Lookup'!"&amp;VLOOKUP($B$6,Grades!$A:$BZ,3,FALSE)&amp;":"&amp;VLOOKUP($B$6,Grades!$A:$BZ,3,FALSE)),$B40,OFFSET(INDIRECT("'Points Lookup'!"&amp;VLOOKUP($B$6,Grades!$A:$BZ,3,FALSE)&amp;":"&amp;VLOOKUP($B$6,Grades!$A:$BZ,3,FALSE)),0,4)))</f>
        <v/>
      </c>
      <c r="U40" s="107" t="str">
        <f t="shared" ca="1" si="5"/>
        <v/>
      </c>
    </row>
    <row r="41" spans="2:21" x14ac:dyDescent="0.35">
      <c r="B41" s="36" t="str">
        <f ca="1">IFERROR(INDEX('Points Lookup'!$A:$A,MATCH(ROW()-13,'Points Lookup'!$AN:$AN,0)),"")</f>
        <v/>
      </c>
      <c r="C41" s="145" t="str">
        <f ca="1">(IF(B41="","",$C$10*SUMIF(INDIRECT("'Points Lookup'!"&amp;VLOOKUP($B$6,Grades!A:BZ,3,FALSE)&amp;":"&amp;VLOOKUP($B$6,Grades!A:BZ,3,FALSE)),B41,INDIRECT("'Points Lookup'!"&amp;VLOOKUP($B$6,Grades!A:BZ,4,FALSE)&amp;":"&amp;VLOOKUP($B$6,Grades!A:Z,4,FALSE)))))</f>
        <v/>
      </c>
      <c r="D41" s="145"/>
      <c r="E41" s="145" t="str">
        <f ca="1">IF($B41="","",IF(SUMIF(Grades!$A:$A,$B$6,Grades!$BU:$BU)=0,"-",IF(AND(VLOOKUP($B$6,Grades!$A:$BZ,77,FALSE)="YES",B41&lt;Thresholds_Rates!$C$13),"-",$C41*Thresholds_Rates!$F$12)))</f>
        <v/>
      </c>
      <c r="F41" s="145" t="str">
        <f ca="1">IF(B41="","",IF(SUMIF(Grades!$A:$A,$B$6,Grades!$BV:$BV)=0,"-",$C41*Thresholds_Rates!$F$13))</f>
        <v/>
      </c>
      <c r="G41" s="145" t="str">
        <f ca="1">IF(B41="","",IF($B$6="Apprenticeship","-",IF(SUMIF(Grades!$A:$A,$B$6,Grades!$BW:$BW)=0,"-",IF(AND(VLOOKUP($B$6,Grades!$A:$BZ,77,FALSE)="YES",B41&gt;Thresholds_Rates!$C$14),"-",$C41*Thresholds_Rates!$F$14))))</f>
        <v/>
      </c>
      <c r="H41" s="145" t="str">
        <f ca="1">IF($B41="","",IF(($C41-(Thresholds_Rates!$C$4*12))&lt;0,0,ROUND(($C41-(Thresholds_Rates!$C$4*12))*Thresholds_Rates!$C$7,0)))</f>
        <v/>
      </c>
      <c r="I41" s="145" t="str">
        <f ca="1">IF(B41="","",(C41*Thresholds_Rates!$C$9))</f>
        <v/>
      </c>
      <c r="J41" s="145" t="str">
        <f ca="1">IF(B41="","",IF(SUMIF(Grades!$A:$A,$B$6,Grades!$BX:$BX)=0,"-",IF(AND(VLOOKUP($B$6,Grades!$A:$BZ,77,FALSE)="YES",B41&gt;Thresholds_Rates!$C$14),"-",$C41*Thresholds_Rates!$F$15)))</f>
        <v/>
      </c>
      <c r="K41" s="145"/>
      <c r="L41" s="145" t="str">
        <f t="shared" ca="1" si="0"/>
        <v/>
      </c>
      <c r="M41" s="145" t="str">
        <f t="shared" ca="1" si="1"/>
        <v/>
      </c>
      <c r="N41" s="145" t="str">
        <f t="shared" ca="1" si="2"/>
        <v/>
      </c>
      <c r="O41" s="145" t="str">
        <f t="shared" ca="1" si="3"/>
        <v/>
      </c>
      <c r="P41" s="145" t="str">
        <f t="shared" ca="1" si="4"/>
        <v/>
      </c>
      <c r="Q41" s="219"/>
      <c r="R41" s="106" t="str">
        <f ca="1">IF(OR($B41="",$C$13="Salary"),"",SUMIF(INDIRECT("'Points Lookup'!"&amp;VLOOKUP($B$6,Grades!$A:$BZ,3,FALSE)&amp;":"&amp;VLOOKUP($B$6,Grades!$A:$BZ,3,FALSE)),$B41,OFFSET(INDIRECT("'Points Lookup'!"&amp;VLOOKUP($B$6,Grades!$A:$BZ,3,FALSE)&amp;":"&amp;VLOOKUP($B$6,Grades!$A:$BZ,3,FALSE)),0,1)))</f>
        <v/>
      </c>
      <c r="S41" s="107" t="str">
        <f ca="1">IF(OR($B41="",$C$13="Salary"),"",$C41-SUMIF(INDIRECT("'Points Lookup'!"&amp;VLOOKUP($B$6,Grades!$A:$BZ,3,FALSE)&amp;":"&amp;VLOOKUP($B$6,Grades!$A:$BZ,3,FALSE)),$B41,OFFSET(INDIRECT("'Points Lookup'!"&amp;VLOOKUP($B$6,Grades!$A:$BZ,3,FALSE)&amp;":"&amp;VLOOKUP($B$6,Grades!$A:$BZ,3,FALSE)),0,2)))</f>
        <v/>
      </c>
      <c r="T41" s="106" t="str">
        <f ca="1">IF(OR($B41="",$C$13="Salary"),"",SUMIF(INDIRECT("'Points Lookup'!"&amp;VLOOKUP($B$6,Grades!$A:$BZ,3,FALSE)&amp;":"&amp;VLOOKUP($B$6,Grades!$A:$BZ,3,FALSE)),$B41,OFFSET(INDIRECT("'Points Lookup'!"&amp;VLOOKUP($B$6,Grades!$A:$BZ,3,FALSE)&amp;":"&amp;VLOOKUP($B$6,Grades!$A:$BZ,3,FALSE)),0,4)))</f>
        <v/>
      </c>
      <c r="U41" s="107" t="str">
        <f t="shared" ca="1" si="5"/>
        <v/>
      </c>
    </row>
    <row r="42" spans="2:21" x14ac:dyDescent="0.35">
      <c r="B42" s="36" t="str">
        <f ca="1">IFERROR(INDEX('Points Lookup'!$A:$A,MATCH(ROW()-13,'Points Lookup'!$AN:$AN,0)),"")</f>
        <v/>
      </c>
      <c r="C42" s="145" t="str">
        <f ca="1">(IF(B42="","",$C$10*SUMIF(INDIRECT("'Points Lookup'!"&amp;VLOOKUP($B$6,Grades!A:BZ,3,FALSE)&amp;":"&amp;VLOOKUP($B$6,Grades!A:BZ,3,FALSE)),B42,INDIRECT("'Points Lookup'!"&amp;VLOOKUP($B$6,Grades!A:BZ,4,FALSE)&amp;":"&amp;VLOOKUP($B$6,Grades!A:Z,4,FALSE)))))</f>
        <v/>
      </c>
      <c r="D42" s="145"/>
      <c r="E42" s="145" t="str">
        <f ca="1">IF($B42="","",IF(SUMIF(Grades!$A:$A,$B$6,Grades!$BU:$BU)=0,"-",IF(AND(VLOOKUP($B$6,Grades!$A:$BZ,77,FALSE)="YES",B42&lt;Thresholds_Rates!$C$13),"-",$C42*Thresholds_Rates!$F$12)))</f>
        <v/>
      </c>
      <c r="F42" s="145" t="str">
        <f ca="1">IF(B42="","",IF(SUMIF(Grades!$A:$A,$B$6,Grades!$BV:$BV)=0,"-",$C42*Thresholds_Rates!$F$13))</f>
        <v/>
      </c>
      <c r="G42" s="145" t="str">
        <f ca="1">IF(B42="","",IF($B$6="Apprenticeship","-",IF(SUMIF(Grades!$A:$A,$B$6,Grades!$BW:$BW)=0,"-",IF(AND(VLOOKUP($B$6,Grades!$A:$BZ,77,FALSE)="YES",B42&gt;Thresholds_Rates!$C$14),"-",$C42*Thresholds_Rates!$F$14))))</f>
        <v/>
      </c>
      <c r="H42" s="145" t="str">
        <f ca="1">IF($B42="","",IF(($C42-(Thresholds_Rates!$C$4*12))&lt;0,0,ROUND(($C42-(Thresholds_Rates!$C$4*12))*Thresholds_Rates!$C$7,0)))</f>
        <v/>
      </c>
      <c r="I42" s="145" t="str">
        <f ca="1">IF(B42="","",(C42*Thresholds_Rates!$C$9))</f>
        <v/>
      </c>
      <c r="J42" s="145" t="str">
        <f ca="1">IF(B42="","",IF(SUMIF(Grades!$A:$A,$B$6,Grades!$BX:$BX)=0,"-",IF(AND(VLOOKUP($B$6,Grades!$A:$BZ,77,FALSE)="YES",B42&gt;Thresholds_Rates!$C$14),"-",$C42*Thresholds_Rates!$F$15)))</f>
        <v/>
      </c>
      <c r="K42" s="145"/>
      <c r="L42" s="145" t="str">
        <f t="shared" ca="1" si="0"/>
        <v/>
      </c>
      <c r="M42" s="145" t="str">
        <f t="shared" ca="1" si="1"/>
        <v/>
      </c>
      <c r="N42" s="145" t="str">
        <f t="shared" ca="1" si="2"/>
        <v/>
      </c>
      <c r="O42" s="145" t="str">
        <f t="shared" ca="1" si="3"/>
        <v/>
      </c>
      <c r="P42" s="145" t="str">
        <f t="shared" ca="1" si="4"/>
        <v/>
      </c>
      <c r="Q42" s="219"/>
      <c r="R42" s="106" t="str">
        <f ca="1">IF(OR($B42="",$C$13="Salary"),"",SUMIF(INDIRECT("'Points Lookup'!"&amp;VLOOKUP($B$6,Grades!$A:$BZ,3,FALSE)&amp;":"&amp;VLOOKUP($B$6,Grades!$A:$BZ,3,FALSE)),$B42,OFFSET(INDIRECT("'Points Lookup'!"&amp;VLOOKUP($B$6,Grades!$A:$BZ,3,FALSE)&amp;":"&amp;VLOOKUP($B$6,Grades!$A:$BZ,3,FALSE)),0,1)))</f>
        <v/>
      </c>
      <c r="S42" s="107" t="str">
        <f ca="1">IF(OR($B42="",$C$13="Salary"),"",$C42-SUMIF(INDIRECT("'Points Lookup'!"&amp;VLOOKUP($B$6,Grades!$A:$BZ,3,FALSE)&amp;":"&amp;VLOOKUP($B$6,Grades!$A:$BZ,3,FALSE)),$B42,OFFSET(INDIRECT("'Points Lookup'!"&amp;VLOOKUP($B$6,Grades!$A:$BZ,3,FALSE)&amp;":"&amp;VLOOKUP($B$6,Grades!$A:$BZ,3,FALSE)),0,2)))</f>
        <v/>
      </c>
      <c r="T42" s="106" t="str">
        <f ca="1">IF(OR($B42="",$C$13="Salary"),"",SUMIF(INDIRECT("'Points Lookup'!"&amp;VLOOKUP($B$6,Grades!$A:$BZ,3,FALSE)&amp;":"&amp;VLOOKUP($B$6,Grades!$A:$BZ,3,FALSE)),$B42,OFFSET(INDIRECT("'Points Lookup'!"&amp;VLOOKUP($B$6,Grades!$A:$BZ,3,FALSE)&amp;":"&amp;VLOOKUP($B$6,Grades!$A:$BZ,3,FALSE)),0,4)))</f>
        <v/>
      </c>
      <c r="U42" s="107" t="str">
        <f t="shared" ca="1" si="5"/>
        <v/>
      </c>
    </row>
    <row r="43" spans="2:21" x14ac:dyDescent="0.35">
      <c r="B43" s="36" t="str">
        <f ca="1">IFERROR(INDEX('Points Lookup'!$A:$A,MATCH(ROW()-13,'Points Lookup'!$AN:$AN,0)),"")</f>
        <v/>
      </c>
      <c r="C43" s="145" t="str">
        <f ca="1">(IF(B43="","",$C$10*SUMIF(INDIRECT("'Points Lookup'!"&amp;VLOOKUP($B$6,Grades!A:BZ,3,FALSE)&amp;":"&amp;VLOOKUP($B$6,Grades!A:BZ,3,FALSE)),B43,INDIRECT("'Points Lookup'!"&amp;VLOOKUP($B$6,Grades!A:BZ,4,FALSE)&amp;":"&amp;VLOOKUP($B$6,Grades!A:Z,4,FALSE)))))</f>
        <v/>
      </c>
      <c r="D43" s="145"/>
      <c r="E43" s="145" t="str">
        <f ca="1">IF($B43="","",IF(SUMIF(Grades!$A:$A,$B$6,Grades!$BU:$BU)=0,"-",IF(AND(VLOOKUP($B$6,Grades!$A:$BZ,77,FALSE)="YES",B43&lt;Thresholds_Rates!$C$13),"-",$C43*Thresholds_Rates!$F$12)))</f>
        <v/>
      </c>
      <c r="F43" s="145" t="str">
        <f ca="1">IF(B43="","",IF(SUMIF(Grades!$A:$A,$B$6,Grades!$BV:$BV)=0,"-",$C43*Thresholds_Rates!$F$13))</f>
        <v/>
      </c>
      <c r="G43" s="145" t="str">
        <f ca="1">IF(B43="","",IF($B$6="Apprenticeship","-",IF(SUMIF(Grades!$A:$A,$B$6,Grades!$BW:$BW)=0,"-",IF(AND(VLOOKUP($B$6,Grades!$A:$BZ,77,FALSE)="YES",B43&gt;Thresholds_Rates!$C$14),"-",$C43*Thresholds_Rates!$F$14))))</f>
        <v/>
      </c>
      <c r="H43" s="145" t="str">
        <f ca="1">IF($B43="","",IF(($C43-(Thresholds_Rates!$C$4*12))&lt;0,0,ROUND(($C43-(Thresholds_Rates!$C$4*12))*Thresholds_Rates!$C$7,0)))</f>
        <v/>
      </c>
      <c r="I43" s="145" t="str">
        <f ca="1">IF(B43="","",(C43*Thresholds_Rates!$C$9))</f>
        <v/>
      </c>
      <c r="J43" s="145" t="str">
        <f ca="1">IF(B43="","",IF(SUMIF(Grades!$A:$A,$B$6,Grades!$BX:$BX)=0,"-",IF(AND(VLOOKUP($B$6,Grades!$A:$BZ,77,FALSE)="YES",B43&gt;Thresholds_Rates!$C$14),"-",$C43*Thresholds_Rates!$F$15)))</f>
        <v/>
      </c>
      <c r="K43" s="145"/>
      <c r="L43" s="145" t="str">
        <f t="shared" ca="1" si="0"/>
        <v/>
      </c>
      <c r="M43" s="145" t="str">
        <f t="shared" ca="1" si="1"/>
        <v/>
      </c>
      <c r="N43" s="145" t="str">
        <f t="shared" ca="1" si="2"/>
        <v/>
      </c>
      <c r="O43" s="145" t="str">
        <f t="shared" ca="1" si="3"/>
        <v/>
      </c>
      <c r="P43" s="145" t="str">
        <f t="shared" ca="1" si="4"/>
        <v/>
      </c>
      <c r="Q43" s="219"/>
      <c r="R43" s="106" t="str">
        <f ca="1">IF(OR($B43="",$C$13="Salary"),"",SUMIF(INDIRECT("'Points Lookup'!"&amp;VLOOKUP($B$6,Grades!$A:$BZ,3,FALSE)&amp;":"&amp;VLOOKUP($B$6,Grades!$A:$BZ,3,FALSE)),$B43,OFFSET(INDIRECT("'Points Lookup'!"&amp;VLOOKUP($B$6,Grades!$A:$BZ,3,FALSE)&amp;":"&amp;VLOOKUP($B$6,Grades!$A:$BZ,3,FALSE)),0,1)))</f>
        <v/>
      </c>
      <c r="S43" s="107" t="str">
        <f ca="1">IF(OR($B43="",$C$13="Salary"),"",$C43-SUMIF(INDIRECT("'Points Lookup'!"&amp;VLOOKUP($B$6,Grades!$A:$BZ,3,FALSE)&amp;":"&amp;VLOOKUP($B$6,Grades!$A:$BZ,3,FALSE)),$B43,OFFSET(INDIRECT("'Points Lookup'!"&amp;VLOOKUP($B$6,Grades!$A:$BZ,3,FALSE)&amp;":"&amp;VLOOKUP($B$6,Grades!$A:$BZ,3,FALSE)),0,2)))</f>
        <v/>
      </c>
      <c r="T43" s="106" t="str">
        <f ca="1">IF(OR($B43="",$C$13="Salary"),"",SUMIF(INDIRECT("'Points Lookup'!"&amp;VLOOKUP($B$6,Grades!$A:$BZ,3,FALSE)&amp;":"&amp;VLOOKUP($B$6,Grades!$A:$BZ,3,FALSE)),$B43,OFFSET(INDIRECT("'Points Lookup'!"&amp;VLOOKUP($B$6,Grades!$A:$BZ,3,FALSE)&amp;":"&amp;VLOOKUP($B$6,Grades!$A:$BZ,3,FALSE)),0,4)))</f>
        <v/>
      </c>
      <c r="U43" s="107" t="str">
        <f t="shared" ca="1" si="5"/>
        <v/>
      </c>
    </row>
    <row r="44" spans="2:21" x14ac:dyDescent="0.35">
      <c r="B44" s="36" t="str">
        <f ca="1">IFERROR(INDEX('Points Lookup'!$A:$A,MATCH(ROW()-13,'Points Lookup'!$AN:$AN,0)),"")</f>
        <v/>
      </c>
      <c r="C44" s="145" t="str">
        <f ca="1">(IF(B44="","",$C$10*SUMIF(INDIRECT("'Points Lookup'!"&amp;VLOOKUP($B$6,Grades!A:BZ,3,FALSE)&amp;":"&amp;VLOOKUP($B$6,Grades!A:BZ,3,FALSE)),B44,INDIRECT("'Points Lookup'!"&amp;VLOOKUP($B$6,Grades!A:BZ,4,FALSE)&amp;":"&amp;VLOOKUP($B$6,Grades!A:Z,4,FALSE)))))</f>
        <v/>
      </c>
      <c r="D44" s="145"/>
      <c r="E44" s="145" t="str">
        <f ca="1">IF($B44="","",IF(SUMIF(Grades!$A:$A,$B$6,Grades!$BU:$BU)=0,"-",IF(AND(VLOOKUP($B$6,Grades!$A:$BZ,77,FALSE)="YES",B44&lt;Thresholds_Rates!$C$13),"-",$C44*Thresholds_Rates!$F$12)))</f>
        <v/>
      </c>
      <c r="F44" s="145" t="str">
        <f ca="1">IF(B44="","",IF(SUMIF(Grades!$A:$A,$B$6,Grades!$BV:$BV)=0,"-",$C44*Thresholds_Rates!$F$13))</f>
        <v/>
      </c>
      <c r="G44" s="145" t="str">
        <f ca="1">IF(B44="","",IF($B$6="Apprenticeship","-",IF(SUMIF(Grades!$A:$A,$B$6,Grades!$BW:$BW)=0,"-",IF(AND(VLOOKUP($B$6,Grades!$A:$BZ,77,FALSE)="YES",B44&gt;Thresholds_Rates!$C$14),"-",$C44*Thresholds_Rates!$F$14))))</f>
        <v/>
      </c>
      <c r="H44" s="145" t="str">
        <f ca="1">IF($B44="","",IF(($C44-(Thresholds_Rates!$C$4*12))&lt;0,0,ROUND(($C44-(Thresholds_Rates!$C$4*12))*Thresholds_Rates!$C$7,0)))</f>
        <v/>
      </c>
      <c r="I44" s="145" t="str">
        <f ca="1">IF(B44="","",(C44*Thresholds_Rates!$C$9))</f>
        <v/>
      </c>
      <c r="J44" s="145" t="str">
        <f ca="1">IF(B44="","",IF(SUMIF(Grades!$A:$A,$B$6,Grades!$BX:$BX)=0,"-",IF(AND(VLOOKUP($B$6,Grades!$A:$BZ,77,FALSE)="YES",B44&gt;Thresholds_Rates!$C$14),"-",$C44*Thresholds_Rates!$F$15)))</f>
        <v/>
      </c>
      <c r="K44" s="145"/>
      <c r="L44" s="145" t="str">
        <f t="shared" ca="1" si="0"/>
        <v/>
      </c>
      <c r="M44" s="145" t="str">
        <f t="shared" ca="1" si="1"/>
        <v/>
      </c>
      <c r="N44" s="145" t="str">
        <f t="shared" ca="1" si="2"/>
        <v/>
      </c>
      <c r="O44" s="145" t="str">
        <f t="shared" ca="1" si="3"/>
        <v/>
      </c>
      <c r="P44" s="145" t="str">
        <f t="shared" ca="1" si="4"/>
        <v/>
      </c>
      <c r="Q44" s="219"/>
      <c r="R44" s="106" t="str">
        <f ca="1">IF(OR($B44="",$C$13="Salary"),"",SUMIF(INDIRECT("'Points Lookup'!"&amp;VLOOKUP($B$6,Grades!$A:$BZ,3,FALSE)&amp;":"&amp;VLOOKUP($B$6,Grades!$A:$BZ,3,FALSE)),$B44,OFFSET(INDIRECT("'Points Lookup'!"&amp;VLOOKUP($B$6,Grades!$A:$BZ,3,FALSE)&amp;":"&amp;VLOOKUP($B$6,Grades!$A:$BZ,3,FALSE)),0,1)))</f>
        <v/>
      </c>
      <c r="S44" s="107" t="str">
        <f ca="1">IF(OR($B44="",$C$13="Salary"),"",$C44-SUMIF(INDIRECT("'Points Lookup'!"&amp;VLOOKUP($B$6,Grades!$A:$BZ,3,FALSE)&amp;":"&amp;VLOOKUP($B$6,Grades!$A:$BZ,3,FALSE)),$B44,OFFSET(INDIRECT("'Points Lookup'!"&amp;VLOOKUP($B$6,Grades!$A:$BZ,3,FALSE)&amp;":"&amp;VLOOKUP($B$6,Grades!$A:$BZ,3,FALSE)),0,2)))</f>
        <v/>
      </c>
      <c r="T44" s="106" t="str">
        <f ca="1">IF(OR($B44="",$C$13="Salary"),"",SUMIF(INDIRECT("'Points Lookup'!"&amp;VLOOKUP($B$6,Grades!$A:$BZ,3,FALSE)&amp;":"&amp;VLOOKUP($B$6,Grades!$A:$BZ,3,FALSE)),$B44,OFFSET(INDIRECT("'Points Lookup'!"&amp;VLOOKUP($B$6,Grades!$A:$BZ,3,FALSE)&amp;":"&amp;VLOOKUP($B$6,Grades!$A:$BZ,3,FALSE)),0,4)))</f>
        <v/>
      </c>
      <c r="U44" s="107" t="str">
        <f t="shared" ca="1" si="5"/>
        <v/>
      </c>
    </row>
    <row r="45" spans="2:21" x14ac:dyDescent="0.35">
      <c r="B45" s="36" t="str">
        <f ca="1">IFERROR(INDEX('Points Lookup'!$A:$A,MATCH(ROW()-13,'Points Lookup'!$AN:$AN,0)),"")</f>
        <v/>
      </c>
      <c r="C45" s="145" t="str">
        <f ca="1">(IF(B45="","",$C$10*SUMIF(INDIRECT("'Points Lookup'!"&amp;VLOOKUP($B$6,Grades!A:BZ,3,FALSE)&amp;":"&amp;VLOOKUP($B$6,Grades!A:BZ,3,FALSE)),B45,INDIRECT("'Points Lookup'!"&amp;VLOOKUP($B$6,Grades!A:BZ,4,FALSE)&amp;":"&amp;VLOOKUP($B$6,Grades!A:Z,4,FALSE)))))</f>
        <v/>
      </c>
      <c r="D45" s="145"/>
      <c r="E45" s="145" t="str">
        <f ca="1">IF($B45="","",IF(SUMIF(Grades!$A:$A,$B$6,Grades!$BU:$BU)=0,"-",IF(AND(VLOOKUP($B$6,Grades!$A:$BZ,77,FALSE)="YES",B45&lt;Thresholds_Rates!$C$13),"-",$C45*Thresholds_Rates!$F$12)))</f>
        <v/>
      </c>
      <c r="F45" s="145" t="str">
        <f ca="1">IF(B45="","",IF(SUMIF(Grades!$A:$A,$B$6,Grades!$BV:$BV)=0,"-",$C45*Thresholds_Rates!$F$13))</f>
        <v/>
      </c>
      <c r="G45" s="145" t="str">
        <f ca="1">IF(B45="","",IF($B$6="Apprenticeship","-",IF(SUMIF(Grades!$A:$A,$B$6,Grades!$BW:$BW)=0,"-",IF(AND(VLOOKUP($B$6,Grades!$A:$BZ,77,FALSE)="YES",B45&gt;Thresholds_Rates!$C$14),"-",$C45*Thresholds_Rates!$F$14))))</f>
        <v/>
      </c>
      <c r="H45" s="145" t="str">
        <f ca="1">IF($B45="","",IF(($C45-(Thresholds_Rates!$C$4*12))&lt;0,0,ROUND(($C45-(Thresholds_Rates!$C$4*12))*Thresholds_Rates!$C$7,0)))</f>
        <v/>
      </c>
      <c r="I45" s="145" t="str">
        <f ca="1">IF(B45="","",(C45*Thresholds_Rates!$C$9))</f>
        <v/>
      </c>
      <c r="J45" s="145" t="str">
        <f ca="1">IF(B45="","",IF(SUMIF(Grades!$A:$A,$B$6,Grades!$BX:$BX)=0,"-",IF(AND(VLOOKUP($B$6,Grades!$A:$BZ,77,FALSE)="YES",B45&gt;Thresholds_Rates!$C$14),"-",$C45*Thresholds_Rates!$F$15)))</f>
        <v/>
      </c>
      <c r="K45" s="145"/>
      <c r="L45" s="145" t="str">
        <f t="shared" ca="1" si="0"/>
        <v/>
      </c>
      <c r="M45" s="145" t="str">
        <f t="shared" ca="1" si="1"/>
        <v/>
      </c>
      <c r="N45" s="145" t="str">
        <f t="shared" ca="1" si="2"/>
        <v/>
      </c>
      <c r="O45" s="145" t="str">
        <f t="shared" ca="1" si="3"/>
        <v/>
      </c>
      <c r="P45" s="145" t="str">
        <f t="shared" ca="1" si="4"/>
        <v/>
      </c>
      <c r="Q45" s="219"/>
      <c r="R45" s="106" t="str">
        <f ca="1">IF(OR($B45="",$C$13="Salary"),"",SUMIF(INDIRECT("'Points Lookup'!"&amp;VLOOKUP($B$6,Grades!$A:$BZ,3,FALSE)&amp;":"&amp;VLOOKUP($B$6,Grades!$A:$BZ,3,FALSE)),$B45,OFFSET(INDIRECT("'Points Lookup'!"&amp;VLOOKUP($B$6,Grades!$A:$BZ,3,FALSE)&amp;":"&amp;VLOOKUP($B$6,Grades!$A:$BZ,3,FALSE)),0,1)))</f>
        <v/>
      </c>
      <c r="S45" s="107" t="str">
        <f ca="1">IF(OR($B45="",$C$13="Salary"),"",$C45-SUMIF(INDIRECT("'Points Lookup'!"&amp;VLOOKUP($B$6,Grades!$A:$BZ,3,FALSE)&amp;":"&amp;VLOOKUP($B$6,Grades!$A:$BZ,3,FALSE)),$B45,OFFSET(INDIRECT("'Points Lookup'!"&amp;VLOOKUP($B$6,Grades!$A:$BZ,3,FALSE)&amp;":"&amp;VLOOKUP($B$6,Grades!$A:$BZ,3,FALSE)),0,2)))</f>
        <v/>
      </c>
      <c r="T45" s="106" t="str">
        <f ca="1">IF(OR($B45="",$C$13="Salary"),"",SUMIF(INDIRECT("'Points Lookup'!"&amp;VLOOKUP($B$6,Grades!$A:$BZ,3,FALSE)&amp;":"&amp;VLOOKUP($B$6,Grades!$A:$BZ,3,FALSE)),$B45,OFFSET(INDIRECT("'Points Lookup'!"&amp;VLOOKUP($B$6,Grades!$A:$BZ,3,FALSE)&amp;":"&amp;VLOOKUP($B$6,Grades!$A:$BZ,3,FALSE)),0,4)))</f>
        <v/>
      </c>
      <c r="U45" s="107" t="str">
        <f t="shared" ca="1" si="5"/>
        <v/>
      </c>
    </row>
    <row r="46" spans="2:21" x14ac:dyDescent="0.35">
      <c r="B46" s="36" t="str">
        <f ca="1">IFERROR(INDEX('Points Lookup'!$A:$A,MATCH(ROW()-13,'Points Lookup'!$AN:$AN,0)),"")</f>
        <v/>
      </c>
      <c r="C46" s="145" t="str">
        <f ca="1">(IF(B46="","",$C$10*SUMIF(INDIRECT("'Points Lookup'!"&amp;VLOOKUP($B$6,Grades!A:BZ,3,FALSE)&amp;":"&amp;VLOOKUP($B$6,Grades!A:BZ,3,FALSE)),B46,INDIRECT("'Points Lookup'!"&amp;VLOOKUP($B$6,Grades!A:BZ,4,FALSE)&amp;":"&amp;VLOOKUP($B$6,Grades!A:Z,4,FALSE)))))</f>
        <v/>
      </c>
      <c r="D46" s="145"/>
      <c r="E46" s="145" t="str">
        <f ca="1">IF($B46="","",IF(SUMIF(Grades!$A:$A,$B$6,Grades!$BU:$BU)=0,"-",IF(AND(VLOOKUP($B$6,Grades!$A:$BZ,77,FALSE)="YES",B46&lt;Thresholds_Rates!$C$13),"-",$C46*Thresholds_Rates!$F$12)))</f>
        <v/>
      </c>
      <c r="F46" s="145" t="str">
        <f ca="1">IF(B46="","",IF(SUMIF(Grades!$A:$A,$B$6,Grades!$BV:$BV)=0,"-",$C46*Thresholds_Rates!$F$13))</f>
        <v/>
      </c>
      <c r="G46" s="145" t="str">
        <f ca="1">IF(B46="","",IF($B$6="Apprenticeship","-",IF(SUMIF(Grades!$A:$A,$B$6,Grades!$BW:$BW)=0,"-",IF(AND(VLOOKUP($B$6,Grades!$A:$BZ,77,FALSE)="YES",B46&gt;Thresholds_Rates!$C$14),"-",$C46*Thresholds_Rates!$F$14))))</f>
        <v/>
      </c>
      <c r="H46" s="145" t="str">
        <f ca="1">IF($B46="","",IF(($C46-(Thresholds_Rates!$C$4*12))&lt;0,0,ROUND(($C46-(Thresholds_Rates!$C$4*12))*Thresholds_Rates!$C$7,0)))</f>
        <v/>
      </c>
      <c r="I46" s="145" t="str">
        <f ca="1">IF(B46="","",(C46*Thresholds_Rates!$C$9))</f>
        <v/>
      </c>
      <c r="J46" s="145" t="str">
        <f ca="1">IF(B46="","",IF(SUMIF(Grades!$A:$A,$B$6,Grades!$BX:$BX)=0,"-",IF(AND(VLOOKUP($B$6,Grades!$A:$BZ,77,FALSE)="YES",B46&gt;Thresholds_Rates!$C$14),"-",$C46*Thresholds_Rates!$F$15)))</f>
        <v/>
      </c>
      <c r="K46" s="145"/>
      <c r="L46" s="145" t="str">
        <f t="shared" ca="1" si="0"/>
        <v/>
      </c>
      <c r="M46" s="145" t="str">
        <f t="shared" ca="1" si="1"/>
        <v/>
      </c>
      <c r="N46" s="145" t="str">
        <f t="shared" ca="1" si="2"/>
        <v/>
      </c>
      <c r="O46" s="145" t="str">
        <f t="shared" ca="1" si="3"/>
        <v/>
      </c>
      <c r="P46" s="145" t="str">
        <f t="shared" ca="1" si="4"/>
        <v/>
      </c>
      <c r="Q46" s="219"/>
      <c r="R46" s="106" t="str">
        <f ca="1">IF(OR($B46="",$C$13="Salary"),"",SUMIF(INDIRECT("'Points Lookup'!"&amp;VLOOKUP($B$6,Grades!$A:$BZ,3,FALSE)&amp;":"&amp;VLOOKUP($B$6,Grades!$A:$BZ,3,FALSE)),$B46,OFFSET(INDIRECT("'Points Lookup'!"&amp;VLOOKUP($B$6,Grades!$A:$BZ,3,FALSE)&amp;":"&amp;VLOOKUP($B$6,Grades!$A:$BZ,3,FALSE)),0,1)))</f>
        <v/>
      </c>
      <c r="S46" s="107" t="str">
        <f ca="1">IF(OR($B46="",$C$13="Salary"),"",$C46-SUMIF(INDIRECT("'Points Lookup'!"&amp;VLOOKUP($B$6,Grades!$A:$BZ,3,FALSE)&amp;":"&amp;VLOOKUP($B$6,Grades!$A:$BZ,3,FALSE)),$B46,OFFSET(INDIRECT("'Points Lookup'!"&amp;VLOOKUP($B$6,Grades!$A:$BZ,3,FALSE)&amp;":"&amp;VLOOKUP($B$6,Grades!$A:$BZ,3,FALSE)),0,2)))</f>
        <v/>
      </c>
      <c r="T46" s="106" t="str">
        <f ca="1">IF(OR($B46="",$C$13="Salary"),"",SUMIF(INDIRECT("'Points Lookup'!"&amp;VLOOKUP($B$6,Grades!$A:$BZ,3,FALSE)&amp;":"&amp;VLOOKUP($B$6,Grades!$A:$BZ,3,FALSE)),$B46,OFFSET(INDIRECT("'Points Lookup'!"&amp;VLOOKUP($B$6,Grades!$A:$BZ,3,FALSE)&amp;":"&amp;VLOOKUP($B$6,Grades!$A:$BZ,3,FALSE)),0,4)))</f>
        <v/>
      </c>
      <c r="U46" s="107" t="str">
        <f t="shared" ca="1" si="5"/>
        <v/>
      </c>
    </row>
    <row r="47" spans="2:21" x14ac:dyDescent="0.35">
      <c r="B47" s="36" t="str">
        <f ca="1">IFERROR(INDEX('Points Lookup'!$A:$A,MATCH(ROW()-13,'Points Lookup'!$AN:$AN,0)),"")</f>
        <v/>
      </c>
      <c r="C47" s="145" t="str">
        <f ca="1">(IF(B47="","",$C$10*SUMIF(INDIRECT("'Points Lookup'!"&amp;VLOOKUP($B$6,Grades!A:BZ,3,FALSE)&amp;":"&amp;VLOOKUP($B$6,Grades!A:BZ,3,FALSE)),B47,INDIRECT("'Points Lookup'!"&amp;VLOOKUP($B$6,Grades!A:BZ,4,FALSE)&amp;":"&amp;VLOOKUP($B$6,Grades!A:Z,4,FALSE)))))</f>
        <v/>
      </c>
      <c r="D47" s="145"/>
      <c r="E47" s="145" t="str">
        <f ca="1">IF($B47="","",IF(SUMIF(Grades!$A:$A,$B$6,Grades!$BU:$BU)=0,"-",IF(AND(VLOOKUP($B$6,Grades!$A:$BZ,77,FALSE)="YES",B47&lt;Thresholds_Rates!$C$13),"-",$C47*Thresholds_Rates!$F$12)))</f>
        <v/>
      </c>
      <c r="F47" s="145" t="str">
        <f ca="1">IF(B47="","",IF(SUMIF(Grades!$A:$A,$B$6,Grades!$BV:$BV)=0,"-",$C47*Thresholds_Rates!$F$13))</f>
        <v/>
      </c>
      <c r="G47" s="145" t="str">
        <f ca="1">IF(B47="","",IF($B$6="Apprenticeship","-",IF(SUMIF(Grades!$A:$A,$B$6,Grades!$BW:$BW)=0,"-",IF(AND(VLOOKUP($B$6,Grades!$A:$BZ,77,FALSE)="YES",B47&gt;Thresholds_Rates!$C$14),"-",$C47*Thresholds_Rates!$F$14))))</f>
        <v/>
      </c>
      <c r="H47" s="145" t="str">
        <f ca="1">IF($B47="","",IF(($C47-(Thresholds_Rates!$C$4*12))&lt;0,0,ROUND(($C47-(Thresholds_Rates!$C$4*12))*Thresholds_Rates!$C$7,0)))</f>
        <v/>
      </c>
      <c r="I47" s="145" t="str">
        <f ca="1">IF(B47="","",(C47*Thresholds_Rates!$C$9))</f>
        <v/>
      </c>
      <c r="J47" s="145" t="str">
        <f ca="1">IF(B47="","",IF(SUMIF(Grades!$A:$A,$B$6,Grades!$BX:$BX)=0,"-",IF(AND(VLOOKUP($B$6,Grades!$A:$BZ,77,FALSE)="YES",B47&gt;Thresholds_Rates!$C$14),"-",$C47*Thresholds_Rates!$F$15)))</f>
        <v/>
      </c>
      <c r="K47" s="145"/>
      <c r="L47" s="145" t="str">
        <f t="shared" ca="1" si="0"/>
        <v/>
      </c>
      <c r="M47" s="145" t="str">
        <f t="shared" ca="1" si="1"/>
        <v/>
      </c>
      <c r="N47" s="145" t="str">
        <f t="shared" ca="1" si="2"/>
        <v/>
      </c>
      <c r="O47" s="145" t="str">
        <f t="shared" ca="1" si="3"/>
        <v/>
      </c>
      <c r="P47" s="145" t="str">
        <f t="shared" ca="1" si="4"/>
        <v/>
      </c>
      <c r="Q47" s="219"/>
      <c r="R47" s="106" t="str">
        <f ca="1">IF(OR($B47="",$C$13="Salary"),"",SUMIF(INDIRECT("'Points Lookup'!"&amp;VLOOKUP($B$6,Grades!$A:$BZ,3,FALSE)&amp;":"&amp;VLOOKUP($B$6,Grades!$A:$BZ,3,FALSE)),$B47,OFFSET(INDIRECT("'Points Lookup'!"&amp;VLOOKUP($B$6,Grades!$A:$BZ,3,FALSE)&amp;":"&amp;VLOOKUP($B$6,Grades!$A:$BZ,3,FALSE)),0,1)))</f>
        <v/>
      </c>
      <c r="S47" s="107" t="str">
        <f ca="1">IF(OR($B47="",$C$13="Salary"),"",$C47-SUMIF(INDIRECT("'Points Lookup'!"&amp;VLOOKUP($B$6,Grades!$A:$BZ,3,FALSE)&amp;":"&amp;VLOOKUP($B$6,Grades!$A:$BZ,3,FALSE)),$B47,OFFSET(INDIRECT("'Points Lookup'!"&amp;VLOOKUP($B$6,Grades!$A:$BZ,3,FALSE)&amp;":"&amp;VLOOKUP($B$6,Grades!$A:$BZ,3,FALSE)),0,2)))</f>
        <v/>
      </c>
      <c r="T47" s="106" t="str">
        <f ca="1">IF(OR($B47="",$C$13="Salary"),"",SUMIF(INDIRECT("'Points Lookup'!"&amp;VLOOKUP($B$6,Grades!$A:$BZ,3,FALSE)&amp;":"&amp;VLOOKUP($B$6,Grades!$A:$BZ,3,FALSE)),$B47,OFFSET(INDIRECT("'Points Lookup'!"&amp;VLOOKUP($B$6,Grades!$A:$BZ,3,FALSE)&amp;":"&amp;VLOOKUP($B$6,Grades!$A:$BZ,3,FALSE)),0,4)))</f>
        <v/>
      </c>
      <c r="U47" s="107" t="str">
        <f t="shared" ca="1" si="5"/>
        <v/>
      </c>
    </row>
    <row r="48" spans="2:21" x14ac:dyDescent="0.35">
      <c r="B48" s="36" t="str">
        <f ca="1">IFERROR(INDEX('Points Lookup'!$A:$A,MATCH(ROW()-13,'Points Lookup'!$AN:$AN,0)),"")</f>
        <v/>
      </c>
      <c r="C48" s="145" t="str">
        <f ca="1">(IF(B48="","",$C$10*SUMIF(INDIRECT("'Points Lookup'!"&amp;VLOOKUP($B$6,Grades!A:BZ,3,FALSE)&amp;":"&amp;VLOOKUP($B$6,Grades!A:BZ,3,FALSE)),B48,INDIRECT("'Points Lookup'!"&amp;VLOOKUP($B$6,Grades!A:BZ,4,FALSE)&amp;":"&amp;VLOOKUP($B$6,Grades!A:Z,4,FALSE)))))</f>
        <v/>
      </c>
      <c r="D48" s="145"/>
      <c r="E48" s="145" t="str">
        <f ca="1">IF($B48="","",IF(SUMIF(Grades!$A:$A,$B$6,Grades!$BU:$BU)=0,"-",IF(AND(VLOOKUP($B$6,Grades!$A:$BZ,77,FALSE)="YES",B48&lt;Thresholds_Rates!$C$13),"-",$C48*Thresholds_Rates!$F$12)))</f>
        <v/>
      </c>
      <c r="F48" s="145" t="str">
        <f ca="1">IF(B48="","",IF(SUMIF(Grades!$A:$A,$B$6,Grades!$BV:$BV)=0,"-",$C48*Thresholds_Rates!$F$13))</f>
        <v/>
      </c>
      <c r="G48" s="145" t="str">
        <f ca="1">IF(B48="","",IF($B$6="Apprenticeship","-",IF(SUMIF(Grades!$A:$A,$B$6,Grades!$BW:$BW)=0,"-",IF(AND(VLOOKUP($B$6,Grades!$A:$BZ,77,FALSE)="YES",B48&gt;Thresholds_Rates!$C$14),"-",$C48*Thresholds_Rates!$F$14))))</f>
        <v/>
      </c>
      <c r="H48" s="145" t="str">
        <f ca="1">IF($B48="","",IF(($C48-(Thresholds_Rates!$C$4*12))&lt;0,0,ROUND(($C48-(Thresholds_Rates!$C$4*12))*Thresholds_Rates!$C$7,0)))</f>
        <v/>
      </c>
      <c r="I48" s="145" t="str">
        <f ca="1">IF(B48="","",(C48*Thresholds_Rates!$C$9))</f>
        <v/>
      </c>
      <c r="J48" s="145" t="str">
        <f ca="1">IF(B48="","",IF(SUMIF(Grades!$A:$A,$B$6,Grades!$BX:$BX)=0,"-",IF(AND(VLOOKUP($B$6,Grades!$A:$BZ,77,FALSE)="YES",B48&gt;Thresholds_Rates!$C$14),"-",$C48*Thresholds_Rates!$F$15)))</f>
        <v/>
      </c>
      <c r="K48" s="145"/>
      <c r="L48" s="145" t="str">
        <f t="shared" ca="1" si="0"/>
        <v/>
      </c>
      <c r="M48" s="145" t="str">
        <f t="shared" ca="1" si="1"/>
        <v/>
      </c>
      <c r="N48" s="145" t="str">
        <f t="shared" ca="1" si="2"/>
        <v/>
      </c>
      <c r="O48" s="145" t="str">
        <f t="shared" ca="1" si="3"/>
        <v/>
      </c>
      <c r="P48" s="145" t="str">
        <f t="shared" ca="1" si="4"/>
        <v/>
      </c>
      <c r="Q48" s="219"/>
      <c r="R48" s="106" t="str">
        <f ca="1">IF(OR($B48="",$C$13="Salary"),"",SUMIF(INDIRECT("'Points Lookup'!"&amp;VLOOKUP($B$6,Grades!$A:$BZ,3,FALSE)&amp;":"&amp;VLOOKUP($B$6,Grades!$A:$BZ,3,FALSE)),$B48,OFFSET(INDIRECT("'Points Lookup'!"&amp;VLOOKUP($B$6,Grades!$A:$BZ,3,FALSE)&amp;":"&amp;VLOOKUP($B$6,Grades!$A:$BZ,3,FALSE)),0,1)))</f>
        <v/>
      </c>
      <c r="S48" s="107" t="str">
        <f ca="1">IF(OR($B48="",$C$13="Salary"),"",$C48-SUMIF(INDIRECT("'Points Lookup'!"&amp;VLOOKUP($B$6,Grades!$A:$BZ,3,FALSE)&amp;":"&amp;VLOOKUP($B$6,Grades!$A:$BZ,3,FALSE)),$B48,OFFSET(INDIRECT("'Points Lookup'!"&amp;VLOOKUP($B$6,Grades!$A:$BZ,3,FALSE)&amp;":"&amp;VLOOKUP($B$6,Grades!$A:$BZ,3,FALSE)),0,2)))</f>
        <v/>
      </c>
      <c r="T48" s="106" t="str">
        <f ca="1">IF(OR($B48="",$C$13="Salary"),"",SUMIF(INDIRECT("'Points Lookup'!"&amp;VLOOKUP($B$6,Grades!$A:$BZ,3,FALSE)&amp;":"&amp;VLOOKUP($B$6,Grades!$A:$BZ,3,FALSE)),$B48,OFFSET(INDIRECT("'Points Lookup'!"&amp;VLOOKUP($B$6,Grades!$A:$BZ,3,FALSE)&amp;":"&amp;VLOOKUP($B$6,Grades!$A:$BZ,3,FALSE)),0,4)))</f>
        <v/>
      </c>
      <c r="U48" s="107" t="str">
        <f t="shared" ca="1" si="5"/>
        <v/>
      </c>
    </row>
    <row r="49" spans="2:21" x14ac:dyDescent="0.35">
      <c r="B49" s="36" t="str">
        <f ca="1">IFERROR(INDEX('Points Lookup'!$A:$A,MATCH(ROW()-13,'Points Lookup'!$AN:$AN,0)),"")</f>
        <v/>
      </c>
      <c r="C49" s="145" t="str">
        <f ca="1">(IF(B49="","",$C$10*SUMIF(INDIRECT("'Points Lookup'!"&amp;VLOOKUP($B$6,Grades!A:BZ,3,FALSE)&amp;":"&amp;VLOOKUP($B$6,Grades!A:BZ,3,FALSE)),B49,INDIRECT("'Points Lookup'!"&amp;VLOOKUP($B$6,Grades!A:BZ,4,FALSE)&amp;":"&amp;VLOOKUP($B$6,Grades!A:Z,4,FALSE)))))</f>
        <v/>
      </c>
      <c r="D49" s="145"/>
      <c r="E49" s="145" t="str">
        <f ca="1">IF($B49="","",IF(SUMIF(Grades!$A:$A,$B$6,Grades!$BU:$BU)=0,"-",IF(AND(VLOOKUP($B$6,Grades!$A:$BZ,77,FALSE)="YES",B49&lt;Thresholds_Rates!$C$13),"-",$C49*Thresholds_Rates!$F$12)))</f>
        <v/>
      </c>
      <c r="F49" s="145" t="str">
        <f ca="1">IF(B49="","",IF(SUMIF(Grades!$A:$A,$B$6,Grades!$BV:$BV)=0,"-",$C49*Thresholds_Rates!$F$13))</f>
        <v/>
      </c>
      <c r="G49" s="145" t="str">
        <f ca="1">IF(B49="","",IF($B$6="Apprenticeship","-",IF(SUMIF(Grades!$A:$A,$B$6,Grades!$BW:$BW)=0,"-",IF(AND(VLOOKUP($B$6,Grades!$A:$BZ,77,FALSE)="YES",B49&gt;Thresholds_Rates!$C$14),"-",$C49*Thresholds_Rates!$F$14))))</f>
        <v/>
      </c>
      <c r="H49" s="145" t="str">
        <f ca="1">IF($B49="","",IF(($C49-(Thresholds_Rates!$C$4*12))&lt;0,0,ROUND(($C49-(Thresholds_Rates!$C$4*12))*Thresholds_Rates!$C$7,0)))</f>
        <v/>
      </c>
      <c r="I49" s="145" t="str">
        <f ca="1">IF(B49="","",(C49*Thresholds_Rates!$C$9))</f>
        <v/>
      </c>
      <c r="J49" s="145" t="str">
        <f ca="1">IF(B49="","",IF(SUMIF(Grades!$A:$A,$B$6,Grades!$BX:$BX)=0,"-",IF(AND(VLOOKUP($B$6,Grades!$A:$BZ,77,FALSE)="YES",B49&gt;Thresholds_Rates!$C$14),"-",$C49*Thresholds_Rates!$F$15)))</f>
        <v/>
      </c>
      <c r="K49" s="145"/>
      <c r="L49" s="145" t="str">
        <f t="shared" ca="1" si="0"/>
        <v/>
      </c>
      <c r="M49" s="145" t="str">
        <f t="shared" ca="1" si="1"/>
        <v/>
      </c>
      <c r="N49" s="145" t="str">
        <f t="shared" ca="1" si="2"/>
        <v/>
      </c>
      <c r="O49" s="145" t="str">
        <f t="shared" ca="1" si="3"/>
        <v/>
      </c>
      <c r="P49" s="145" t="str">
        <f t="shared" ca="1" si="4"/>
        <v/>
      </c>
      <c r="Q49" s="219"/>
      <c r="R49" s="106" t="str">
        <f ca="1">IF(OR($B49="",$C$13="Salary"),"",SUMIF(INDIRECT("'Points Lookup'!"&amp;VLOOKUP($B$6,Grades!$A:$BZ,3,FALSE)&amp;":"&amp;VLOOKUP($B$6,Grades!$A:$BZ,3,FALSE)),$B49,OFFSET(INDIRECT("'Points Lookup'!"&amp;VLOOKUP($B$6,Grades!$A:$BZ,3,FALSE)&amp;":"&amp;VLOOKUP($B$6,Grades!$A:$BZ,3,FALSE)),0,1)))</f>
        <v/>
      </c>
      <c r="S49" s="107" t="str">
        <f ca="1">IF(OR($B49="",$C$13="Salary"),"",$C49-SUMIF(INDIRECT("'Points Lookup'!"&amp;VLOOKUP($B$6,Grades!$A:$BZ,3,FALSE)&amp;":"&amp;VLOOKUP($B$6,Grades!$A:$BZ,3,FALSE)),$B49,OFFSET(INDIRECT("'Points Lookup'!"&amp;VLOOKUP($B$6,Grades!$A:$BZ,3,FALSE)&amp;":"&amp;VLOOKUP($B$6,Grades!$A:$BZ,3,FALSE)),0,2)))</f>
        <v/>
      </c>
      <c r="T49" s="106" t="str">
        <f ca="1">IF(OR($B49="",$C$13="Salary"),"",SUMIF(INDIRECT("'Points Lookup'!"&amp;VLOOKUP($B$6,Grades!$A:$BZ,3,FALSE)&amp;":"&amp;VLOOKUP($B$6,Grades!$A:$BZ,3,FALSE)),$B49,OFFSET(INDIRECT("'Points Lookup'!"&amp;VLOOKUP($B$6,Grades!$A:$BZ,3,FALSE)&amp;":"&amp;VLOOKUP($B$6,Grades!$A:$BZ,3,FALSE)),0,4)))</f>
        <v/>
      </c>
      <c r="U49" s="107" t="str">
        <f t="shared" ca="1" si="5"/>
        <v/>
      </c>
    </row>
    <row r="50" spans="2:21" x14ac:dyDescent="0.35">
      <c r="B50" s="36" t="str">
        <f ca="1">IFERROR(INDEX('Points Lookup'!$A:$A,MATCH(ROW()-13,'Points Lookup'!$AN:$AN,0)),"")</f>
        <v/>
      </c>
      <c r="C50" s="145" t="str">
        <f ca="1">(IF(B50="","",$C$10*SUMIF(INDIRECT("'Points Lookup'!"&amp;VLOOKUP($B$6,Grades!A:BZ,3,FALSE)&amp;":"&amp;VLOOKUP($B$6,Grades!A:BZ,3,FALSE)),B50,INDIRECT("'Points Lookup'!"&amp;VLOOKUP($B$6,Grades!A:BZ,4,FALSE)&amp;":"&amp;VLOOKUP($B$6,Grades!A:Z,4,FALSE)))))</f>
        <v/>
      </c>
      <c r="D50" s="145"/>
      <c r="E50" s="145" t="str">
        <f ca="1">IF($B50="","",IF(SUMIF(Grades!$A:$A,$B$6,Grades!$BU:$BU)=0,"-",IF(AND(VLOOKUP($B$6,Grades!$A:$BZ,77,FALSE)="YES",B50&lt;Thresholds_Rates!$C$13),"-",$C50*Thresholds_Rates!$F$12)))</f>
        <v/>
      </c>
      <c r="F50" s="145" t="str">
        <f ca="1">IF(B50="","",IF(SUMIF(Grades!$A:$A,$B$6,Grades!$BV:$BV)=0,"-",$C50*Thresholds_Rates!$F$13))</f>
        <v/>
      </c>
      <c r="G50" s="145" t="str">
        <f ca="1">IF(B50="","",IF($B$6="Apprenticeship","-",IF(SUMIF(Grades!$A:$A,$B$6,Grades!$BW:$BW)=0,"-",IF(AND(VLOOKUP($B$6,Grades!$A:$BZ,77,FALSE)="YES",B50&gt;Thresholds_Rates!$C$14),"-",$C50*Thresholds_Rates!$F$14))))</f>
        <v/>
      </c>
      <c r="H50" s="145" t="str">
        <f ca="1">IF($B50="","",IF(($C50-(Thresholds_Rates!$C$4*12))&lt;0,0,ROUND(($C50-(Thresholds_Rates!$C$4*12))*Thresholds_Rates!$C$7,0)))</f>
        <v/>
      </c>
      <c r="I50" s="145" t="str">
        <f ca="1">IF(B50="","",(C50*Thresholds_Rates!$C$9))</f>
        <v/>
      </c>
      <c r="J50" s="145" t="str">
        <f ca="1">IF(B50="","",IF(SUMIF(Grades!$A:$A,$B$6,Grades!$BX:$BX)=0,"-",IF(AND(VLOOKUP($B$6,Grades!$A:$BZ,77,FALSE)="YES",B50&gt;Thresholds_Rates!$C$14),"-",$C50*Thresholds_Rates!$F$15)))</f>
        <v/>
      </c>
      <c r="K50" s="145"/>
      <c r="L50" s="145" t="str">
        <f t="shared" ca="1" si="0"/>
        <v/>
      </c>
      <c r="M50" s="145" t="str">
        <f t="shared" ca="1" si="1"/>
        <v/>
      </c>
      <c r="N50" s="145" t="str">
        <f t="shared" ca="1" si="2"/>
        <v/>
      </c>
      <c r="O50" s="145" t="str">
        <f t="shared" ca="1" si="3"/>
        <v/>
      </c>
      <c r="P50" s="145" t="str">
        <f t="shared" ca="1" si="4"/>
        <v/>
      </c>
      <c r="Q50" s="219"/>
      <c r="R50" s="106" t="str">
        <f ca="1">IF(OR($B50="",$C$13="Salary"),"",SUMIF(INDIRECT("'Points Lookup'!"&amp;VLOOKUP($B$6,Grades!$A:$BZ,3,FALSE)&amp;":"&amp;VLOOKUP($B$6,Grades!$A:$BZ,3,FALSE)),$B50,OFFSET(INDIRECT("'Points Lookup'!"&amp;VLOOKUP($B$6,Grades!$A:$BZ,3,FALSE)&amp;":"&amp;VLOOKUP($B$6,Grades!$A:$BZ,3,FALSE)),0,1)))</f>
        <v/>
      </c>
      <c r="S50" s="107" t="str">
        <f ca="1">IF(OR($B50="",$C$13="Salary"),"",$C50-SUMIF(INDIRECT("'Points Lookup'!"&amp;VLOOKUP($B$6,Grades!$A:$BZ,3,FALSE)&amp;":"&amp;VLOOKUP($B$6,Grades!$A:$BZ,3,FALSE)),$B50,OFFSET(INDIRECT("'Points Lookup'!"&amp;VLOOKUP($B$6,Grades!$A:$BZ,3,FALSE)&amp;":"&amp;VLOOKUP($B$6,Grades!$A:$BZ,3,FALSE)),0,2)))</f>
        <v/>
      </c>
      <c r="T50" s="106" t="str">
        <f ca="1">IF(OR($B50="",$C$13="Salary"),"",SUMIF(INDIRECT("'Points Lookup'!"&amp;VLOOKUP($B$6,Grades!$A:$BZ,3,FALSE)&amp;":"&amp;VLOOKUP($B$6,Grades!$A:$BZ,3,FALSE)),$B50,OFFSET(INDIRECT("'Points Lookup'!"&amp;VLOOKUP($B$6,Grades!$A:$BZ,3,FALSE)&amp;":"&amp;VLOOKUP($B$6,Grades!$A:$BZ,3,FALSE)),0,4)))</f>
        <v/>
      </c>
      <c r="U50" s="107" t="str">
        <f t="shared" ca="1" si="5"/>
        <v/>
      </c>
    </row>
    <row r="51" spans="2:21" x14ac:dyDescent="0.35">
      <c r="B51" s="36" t="str">
        <f ca="1">IFERROR(INDEX('Points Lookup'!$A:$A,MATCH(ROW()-13,'Points Lookup'!$AN:$AN,0)),"")</f>
        <v/>
      </c>
      <c r="C51" s="145" t="str">
        <f ca="1">(IF(B51="","",$C$10*SUMIF(INDIRECT("'Points Lookup'!"&amp;VLOOKUP($B$6,Grades!A:BZ,3,FALSE)&amp;":"&amp;VLOOKUP($B$6,Grades!A:BZ,3,FALSE)),B51,INDIRECT("'Points Lookup'!"&amp;VLOOKUP($B$6,Grades!A:BZ,4,FALSE)&amp;":"&amp;VLOOKUP($B$6,Grades!A:Z,4,FALSE)))))</f>
        <v/>
      </c>
      <c r="D51" s="145"/>
      <c r="E51" s="145" t="str">
        <f ca="1">IF($B51="","",IF(SUMIF(Grades!$A:$A,$B$6,Grades!$BU:$BU)=0,"-",IF(AND(VLOOKUP($B$6,Grades!$A:$BZ,77,FALSE)="YES",B51&lt;Thresholds_Rates!$C$13),"-",$C51*Thresholds_Rates!$F$12)))</f>
        <v/>
      </c>
      <c r="F51" s="145" t="str">
        <f ca="1">IF(B51="","",IF(SUMIF(Grades!$A:$A,$B$6,Grades!$BV:$BV)=0,"-",$C51*Thresholds_Rates!$F$13))</f>
        <v/>
      </c>
      <c r="G51" s="145" t="str">
        <f ca="1">IF(B51="","",IF($B$6="Apprenticeship","-",IF(SUMIF(Grades!$A:$A,$B$6,Grades!$BW:$BW)=0,"-",IF(AND(VLOOKUP($B$6,Grades!$A:$BZ,77,FALSE)="YES",B51&gt;Thresholds_Rates!$C$14),"-",$C51*Thresholds_Rates!$F$14))))</f>
        <v/>
      </c>
      <c r="H51" s="145" t="str">
        <f ca="1">IF($B51="","",IF(($C51-(Thresholds_Rates!$C$4*12))&lt;0,0,ROUND(($C51-(Thresholds_Rates!$C$4*12))*Thresholds_Rates!$C$7,0)))</f>
        <v/>
      </c>
      <c r="I51" s="145" t="str">
        <f ca="1">IF(B51="","",(C51*Thresholds_Rates!$C$9))</f>
        <v/>
      </c>
      <c r="J51" s="145" t="str">
        <f ca="1">IF(B51="","",IF(SUMIF(Grades!$A:$A,$B$6,Grades!$BX:$BX)=0,"-",IF(AND(VLOOKUP($B$6,Grades!$A:$BZ,77,FALSE)="YES",B51&gt;Thresholds_Rates!$C$14),"-",$C51*Thresholds_Rates!$F$15)))</f>
        <v/>
      </c>
      <c r="K51" s="145"/>
      <c r="L51" s="145" t="str">
        <f t="shared" ca="1" si="0"/>
        <v/>
      </c>
      <c r="M51" s="145" t="str">
        <f t="shared" ca="1" si="1"/>
        <v/>
      </c>
      <c r="N51" s="145" t="str">
        <f t="shared" ca="1" si="2"/>
        <v/>
      </c>
      <c r="O51" s="145" t="str">
        <f t="shared" ca="1" si="3"/>
        <v/>
      </c>
      <c r="P51" s="145" t="str">
        <f t="shared" ca="1" si="4"/>
        <v/>
      </c>
      <c r="Q51" s="219"/>
      <c r="R51" s="106" t="str">
        <f ca="1">IF(OR($B51="",$C$13="Salary"),"",SUMIF(INDIRECT("'Points Lookup'!"&amp;VLOOKUP($B$6,Grades!$A:$BZ,3,FALSE)&amp;":"&amp;VLOOKUP($B$6,Grades!$A:$BZ,3,FALSE)),$B51,OFFSET(INDIRECT("'Points Lookup'!"&amp;VLOOKUP($B$6,Grades!$A:$BZ,3,FALSE)&amp;":"&amp;VLOOKUP($B$6,Grades!$A:$BZ,3,FALSE)),0,1)))</f>
        <v/>
      </c>
      <c r="S51" s="107" t="str">
        <f ca="1">IF(OR($B51="",$C$13="Salary"),"",$C51-SUMIF(INDIRECT("'Points Lookup'!"&amp;VLOOKUP($B$6,Grades!$A:$BZ,3,FALSE)&amp;":"&amp;VLOOKUP($B$6,Grades!$A:$BZ,3,FALSE)),$B51,OFFSET(INDIRECT("'Points Lookup'!"&amp;VLOOKUP($B$6,Grades!$A:$BZ,3,FALSE)&amp;":"&amp;VLOOKUP($B$6,Grades!$A:$BZ,3,FALSE)),0,2)))</f>
        <v/>
      </c>
      <c r="T51" s="106" t="str">
        <f ca="1">IF(OR($B51="",$C$13="Salary"),"",SUMIF(INDIRECT("'Points Lookup'!"&amp;VLOOKUP($B$6,Grades!$A:$BZ,3,FALSE)&amp;":"&amp;VLOOKUP($B$6,Grades!$A:$BZ,3,FALSE)),$B51,OFFSET(INDIRECT("'Points Lookup'!"&amp;VLOOKUP($B$6,Grades!$A:$BZ,3,FALSE)&amp;":"&amp;VLOOKUP($B$6,Grades!$A:$BZ,3,FALSE)),0,4)))</f>
        <v/>
      </c>
      <c r="U51" s="107" t="str">
        <f t="shared" ca="1" si="5"/>
        <v/>
      </c>
    </row>
    <row r="52" spans="2:21" x14ac:dyDescent="0.35">
      <c r="B52" s="36" t="str">
        <f ca="1">IFERROR(INDEX('Points Lookup'!$A:$A,MATCH(ROW()-13,'Points Lookup'!$AN:$AN,0)),"")</f>
        <v/>
      </c>
      <c r="C52" s="145" t="str">
        <f ca="1">(IF(B52="","",$C$10*SUMIF(INDIRECT("'Points Lookup'!"&amp;VLOOKUP($B$6,Grades!A:BZ,3,FALSE)&amp;":"&amp;VLOOKUP($B$6,Grades!A:BZ,3,FALSE)),B52,INDIRECT("'Points Lookup'!"&amp;VLOOKUP($B$6,Grades!A:BZ,4,FALSE)&amp;":"&amp;VLOOKUP($B$6,Grades!A:Z,4,FALSE)))))</f>
        <v/>
      </c>
      <c r="D52" s="145"/>
      <c r="E52" s="145" t="str">
        <f ca="1">IF($B52="","",IF(SUMIF(Grades!$A:$A,$B$6,Grades!$BU:$BU)=0,"-",IF(AND(VLOOKUP($B$6,Grades!$A:$BZ,77,FALSE)="YES",B52&lt;Thresholds_Rates!$C$13),"-",$C52*Thresholds_Rates!$F$12)))</f>
        <v/>
      </c>
      <c r="F52" s="145" t="str">
        <f ca="1">IF(B52="","",IF(SUMIF(Grades!$A:$A,$B$6,Grades!$BV:$BV)=0,"-",$C52*Thresholds_Rates!$F$13))</f>
        <v/>
      </c>
      <c r="G52" s="145" t="str">
        <f ca="1">IF(B52="","",IF($B$6="Apprenticeship","-",IF(SUMIF(Grades!$A:$A,$B$6,Grades!$BW:$BW)=0,"-",IF(AND(VLOOKUP($B$6,Grades!$A:$BZ,77,FALSE)="YES",B52&gt;Thresholds_Rates!$C$14),"-",$C52*Thresholds_Rates!$F$14))))</f>
        <v/>
      </c>
      <c r="H52" s="145" t="str">
        <f ca="1">IF($B52="","",IF(($C52-(Thresholds_Rates!$C$4*12))&lt;0,0,ROUND(($C52-(Thresholds_Rates!$C$4*12))*Thresholds_Rates!$C$7,0)))</f>
        <v/>
      </c>
      <c r="I52" s="145" t="str">
        <f ca="1">IF(B52="","",(C52*Thresholds_Rates!$C$9))</f>
        <v/>
      </c>
      <c r="J52" s="145" t="str">
        <f ca="1">IF(B52="","",IF(SUMIF(Grades!$A:$A,$B$6,Grades!$BX:$BX)=0,"-",IF(AND(VLOOKUP($B$6,Grades!$A:$BZ,77,FALSE)="YES",B52&gt;Thresholds_Rates!$C$14),"-",$C52*Thresholds_Rates!$F$15)))</f>
        <v/>
      </c>
      <c r="K52" s="145"/>
      <c r="L52" s="145" t="str">
        <f t="shared" ca="1" si="0"/>
        <v/>
      </c>
      <c r="M52" s="145" t="str">
        <f t="shared" ca="1" si="1"/>
        <v/>
      </c>
      <c r="N52" s="145" t="str">
        <f t="shared" ca="1" si="2"/>
        <v/>
      </c>
      <c r="O52" s="145" t="str">
        <f t="shared" ca="1" si="3"/>
        <v/>
      </c>
      <c r="P52" s="145" t="str">
        <f t="shared" ca="1" si="4"/>
        <v/>
      </c>
      <c r="Q52" s="219"/>
      <c r="R52" s="106" t="str">
        <f ca="1">IF(OR($B52="",$C$13="Salary"),"",SUMIF(INDIRECT("'Points Lookup'!"&amp;VLOOKUP($B$6,Grades!$A:$BZ,3,FALSE)&amp;":"&amp;VLOOKUP($B$6,Grades!$A:$BZ,3,FALSE)),$B52,OFFSET(INDIRECT("'Points Lookup'!"&amp;VLOOKUP($B$6,Grades!$A:$BZ,3,FALSE)&amp;":"&amp;VLOOKUP($B$6,Grades!$A:$BZ,3,FALSE)),0,1)))</f>
        <v/>
      </c>
      <c r="S52" s="107" t="str">
        <f ca="1">IF(OR($B52="",$C$13="Salary"),"",$C52-SUMIF(INDIRECT("'Points Lookup'!"&amp;VLOOKUP($B$6,Grades!$A:$BZ,3,FALSE)&amp;":"&amp;VLOOKUP($B$6,Grades!$A:$BZ,3,FALSE)),$B52,OFFSET(INDIRECT("'Points Lookup'!"&amp;VLOOKUP($B$6,Grades!$A:$BZ,3,FALSE)&amp;":"&amp;VLOOKUP($B$6,Grades!$A:$BZ,3,FALSE)),0,2)))</f>
        <v/>
      </c>
      <c r="T52" s="106" t="str">
        <f ca="1">IF(OR($B52="",$C$13="Salary"),"",SUMIF(INDIRECT("'Points Lookup'!"&amp;VLOOKUP($B$6,Grades!$A:$BZ,3,FALSE)&amp;":"&amp;VLOOKUP($B$6,Grades!$A:$BZ,3,FALSE)),$B52,OFFSET(INDIRECT("'Points Lookup'!"&amp;VLOOKUP($B$6,Grades!$A:$BZ,3,FALSE)&amp;":"&amp;VLOOKUP($B$6,Grades!$A:$BZ,3,FALSE)),0,4)))</f>
        <v/>
      </c>
      <c r="U52" s="107" t="str">
        <f t="shared" ca="1" si="5"/>
        <v/>
      </c>
    </row>
    <row r="53" spans="2:21" x14ac:dyDescent="0.35">
      <c r="B53" s="36" t="str">
        <f ca="1">IFERROR(INDEX('Points Lookup'!$A:$A,MATCH(ROW()-13,'Points Lookup'!$AN:$AN,0)),"")</f>
        <v/>
      </c>
      <c r="C53" s="145" t="str">
        <f ca="1">(IF(B53="","",$C$10*SUMIF(INDIRECT("'Points Lookup'!"&amp;VLOOKUP($B$6,Grades!A:BZ,3,FALSE)&amp;":"&amp;VLOOKUP($B$6,Grades!A:BZ,3,FALSE)),B53,INDIRECT("'Points Lookup'!"&amp;VLOOKUP($B$6,Grades!A:BZ,4,FALSE)&amp;":"&amp;VLOOKUP($B$6,Grades!A:Z,4,FALSE)))))</f>
        <v/>
      </c>
      <c r="D53" s="145"/>
      <c r="E53" s="145" t="str">
        <f ca="1">IF($B53="","",IF(SUMIF(Grades!$A:$A,$B$6,Grades!$BU:$BU)=0,"-",IF(AND(VLOOKUP($B$6,Grades!$A:$BZ,77,FALSE)="YES",B53&lt;Thresholds_Rates!$C$13),"-",$C53*Thresholds_Rates!$F$12)))</f>
        <v/>
      </c>
      <c r="F53" s="145" t="str">
        <f ca="1">IF(B53="","",IF(SUMIF(Grades!$A:$A,$B$6,Grades!$BV:$BV)=0,"-",$C53*Thresholds_Rates!$F$13))</f>
        <v/>
      </c>
      <c r="G53" s="145" t="str">
        <f ca="1">IF(B53="","",IF($B$6="Apprenticeship","-",IF(SUMIF(Grades!$A:$A,$B$6,Grades!$BW:$BW)=0,"-",IF(AND(VLOOKUP($B$6,Grades!$A:$BZ,77,FALSE)="YES",B53&gt;Thresholds_Rates!$C$14),"-",$C53*Thresholds_Rates!$F$14))))</f>
        <v/>
      </c>
      <c r="H53" s="145" t="str">
        <f ca="1">IF($B53="","",IF(($C53-(Thresholds_Rates!$C$4*12))&lt;0,0,ROUND(($C53-(Thresholds_Rates!$C$4*12))*Thresholds_Rates!$C$7,0)))</f>
        <v/>
      </c>
      <c r="I53" s="145" t="str">
        <f ca="1">IF(B53="","",(C53*Thresholds_Rates!$C$9))</f>
        <v/>
      </c>
      <c r="J53" s="145" t="str">
        <f ca="1">IF(B53="","",IF(SUMIF(Grades!$A:$A,$B$6,Grades!$BX:$BX)=0,"-",IF(AND(VLOOKUP($B$6,Grades!$A:$BZ,77,FALSE)="YES",B53&gt;Thresholds_Rates!$C$14),"-",$C53*Thresholds_Rates!$F$15)))</f>
        <v/>
      </c>
      <c r="K53" s="145"/>
      <c r="L53" s="145" t="str">
        <f t="shared" ca="1" si="0"/>
        <v/>
      </c>
      <c r="M53" s="145" t="str">
        <f t="shared" ca="1" si="1"/>
        <v/>
      </c>
      <c r="N53" s="145" t="str">
        <f t="shared" ca="1" si="2"/>
        <v/>
      </c>
      <c r="O53" s="145" t="str">
        <f t="shared" ca="1" si="3"/>
        <v/>
      </c>
      <c r="P53" s="145" t="str">
        <f t="shared" ca="1" si="4"/>
        <v/>
      </c>
      <c r="Q53" s="219"/>
      <c r="R53" s="106" t="str">
        <f ca="1">IF(OR($B53="",$C$13="Salary"),"",SUMIF(INDIRECT("'Points Lookup'!"&amp;VLOOKUP($B$6,Grades!$A:$BZ,3,FALSE)&amp;":"&amp;VLOOKUP($B$6,Grades!$A:$BZ,3,FALSE)),$B53,OFFSET(INDIRECT("'Points Lookup'!"&amp;VLOOKUP($B$6,Grades!$A:$BZ,3,FALSE)&amp;":"&amp;VLOOKUP($B$6,Grades!$A:$BZ,3,FALSE)),0,1)))</f>
        <v/>
      </c>
      <c r="S53" s="107" t="str">
        <f ca="1">IF(OR($B53="",$C$13="Salary"),"",$C53-SUMIF(INDIRECT("'Points Lookup'!"&amp;VLOOKUP($B$6,Grades!$A:$BZ,3,FALSE)&amp;":"&amp;VLOOKUP($B$6,Grades!$A:$BZ,3,FALSE)),$B53,OFFSET(INDIRECT("'Points Lookup'!"&amp;VLOOKUP($B$6,Grades!$A:$BZ,3,FALSE)&amp;":"&amp;VLOOKUP($B$6,Grades!$A:$BZ,3,FALSE)),0,2)))</f>
        <v/>
      </c>
      <c r="T53" s="106" t="str">
        <f ca="1">IF(OR($B53="",$C$13="Salary"),"",SUMIF(INDIRECT("'Points Lookup'!"&amp;VLOOKUP($B$6,Grades!$A:$BZ,3,FALSE)&amp;":"&amp;VLOOKUP($B$6,Grades!$A:$BZ,3,FALSE)),$B53,OFFSET(INDIRECT("'Points Lookup'!"&amp;VLOOKUP($B$6,Grades!$A:$BZ,3,FALSE)&amp;":"&amp;VLOOKUP($B$6,Grades!$A:$BZ,3,FALSE)),0,4)))</f>
        <v/>
      </c>
      <c r="U53" s="107" t="str">
        <f t="shared" ca="1" si="5"/>
        <v/>
      </c>
    </row>
    <row r="54" spans="2:21" x14ac:dyDescent="0.35">
      <c r="B54" s="36" t="str">
        <f ca="1">IFERROR(INDEX('Points Lookup'!$A:$A,MATCH(ROW()-13,'Points Lookup'!$AN:$AN,0)),"")</f>
        <v/>
      </c>
      <c r="C54" s="145" t="str">
        <f ca="1">(IF(B54="","",$C$10*SUMIF(INDIRECT("'Points Lookup'!"&amp;VLOOKUP($B$6,Grades!A:BZ,3,FALSE)&amp;":"&amp;VLOOKUP($B$6,Grades!A:BZ,3,FALSE)),B54,INDIRECT("'Points Lookup'!"&amp;VLOOKUP($B$6,Grades!A:BZ,4,FALSE)&amp;":"&amp;VLOOKUP($B$6,Grades!A:Z,4,FALSE)))))</f>
        <v/>
      </c>
      <c r="D54" s="145"/>
      <c r="E54" s="145" t="str">
        <f ca="1">IF($B54="","",IF(SUMIF(Grades!$A:$A,$B$6,Grades!$BU:$BU)=0,"-",IF(AND(VLOOKUP($B$6,Grades!$A:$BZ,77,FALSE)="YES",B54&lt;Thresholds_Rates!$C$13),"-",$C54*Thresholds_Rates!$F$12)))</f>
        <v/>
      </c>
      <c r="F54" s="145" t="str">
        <f ca="1">IF(B54="","",IF(SUMIF(Grades!$A:$A,$B$6,Grades!$BV:$BV)=0,"-",$C54*Thresholds_Rates!$F$13))</f>
        <v/>
      </c>
      <c r="G54" s="145" t="str">
        <f ca="1">IF(B54="","",IF($B$6="Apprenticeship","-",IF(SUMIF(Grades!$A:$A,$B$6,Grades!$BW:$BW)=0,"-",IF(AND(VLOOKUP($B$6,Grades!$A:$BZ,77,FALSE)="YES",B54&gt;Thresholds_Rates!$C$14),"-",$C54*Thresholds_Rates!$F$14))))</f>
        <v/>
      </c>
      <c r="H54" s="145" t="str">
        <f ca="1">IF($B54="","",IF(($C54-(Thresholds_Rates!$C$4*12))&lt;0,0,ROUND(($C54-(Thresholds_Rates!$C$4*12))*Thresholds_Rates!$C$7,0)))</f>
        <v/>
      </c>
      <c r="I54" s="145" t="str">
        <f ca="1">IF(B54="","",(C54*Thresholds_Rates!$C$9))</f>
        <v/>
      </c>
      <c r="J54" s="145" t="str">
        <f ca="1">IF(B54="","",IF(SUMIF(Grades!$A:$A,$B$6,Grades!$BX:$BX)=0,"-",IF(AND(VLOOKUP($B$6,Grades!$A:$BZ,77,FALSE)="YES",B54&gt;Thresholds_Rates!$C$14),"-",$C54*Thresholds_Rates!$F$15)))</f>
        <v/>
      </c>
      <c r="K54" s="145"/>
      <c r="L54" s="145" t="str">
        <f t="shared" ca="1" si="0"/>
        <v/>
      </c>
      <c r="M54" s="145" t="str">
        <f t="shared" ca="1" si="1"/>
        <v/>
      </c>
      <c r="N54" s="145" t="str">
        <f t="shared" ca="1" si="2"/>
        <v/>
      </c>
      <c r="O54" s="145" t="str">
        <f t="shared" ca="1" si="3"/>
        <v/>
      </c>
      <c r="P54" s="145" t="str">
        <f t="shared" ca="1" si="4"/>
        <v/>
      </c>
      <c r="Q54" s="219"/>
      <c r="R54" s="106" t="str">
        <f ca="1">IF(OR($B54="",$C$13="Salary"),"",SUMIF(INDIRECT("'Points Lookup'!"&amp;VLOOKUP($B$6,Grades!$A:$BZ,3,FALSE)&amp;":"&amp;VLOOKUP($B$6,Grades!$A:$BZ,3,FALSE)),$B54,OFFSET(INDIRECT("'Points Lookup'!"&amp;VLOOKUP($B$6,Grades!$A:$BZ,3,FALSE)&amp;":"&amp;VLOOKUP($B$6,Grades!$A:$BZ,3,FALSE)),0,1)))</f>
        <v/>
      </c>
      <c r="S54" s="107" t="str">
        <f ca="1">IF(OR($B54="",$C$13="Salary"),"",$C54-SUMIF(INDIRECT("'Points Lookup'!"&amp;VLOOKUP($B$6,Grades!$A:$BZ,3,FALSE)&amp;":"&amp;VLOOKUP($B$6,Grades!$A:$BZ,3,FALSE)),$B54,OFFSET(INDIRECT("'Points Lookup'!"&amp;VLOOKUP($B$6,Grades!$A:$BZ,3,FALSE)&amp;":"&amp;VLOOKUP($B$6,Grades!$A:$BZ,3,FALSE)),0,2)))</f>
        <v/>
      </c>
      <c r="T54" s="106" t="str">
        <f ca="1">IF(OR($B54="",$C$13="Salary"),"",SUMIF(INDIRECT("'Points Lookup'!"&amp;VLOOKUP($B$6,Grades!$A:$BZ,3,FALSE)&amp;":"&amp;VLOOKUP($B$6,Grades!$A:$BZ,3,FALSE)),$B54,OFFSET(INDIRECT("'Points Lookup'!"&amp;VLOOKUP($B$6,Grades!$A:$BZ,3,FALSE)&amp;":"&amp;VLOOKUP($B$6,Grades!$A:$BZ,3,FALSE)),0,4)))</f>
        <v/>
      </c>
      <c r="U54" s="107" t="str">
        <f t="shared" ca="1" si="5"/>
        <v/>
      </c>
    </row>
    <row r="55" spans="2:21" x14ac:dyDescent="0.35">
      <c r="B55" s="36" t="str">
        <f ca="1">IFERROR(INDEX('Points Lookup'!$A:$A,MATCH(ROW()-13,'Points Lookup'!$AN:$AN,0)),"")</f>
        <v/>
      </c>
      <c r="C55" s="145" t="str">
        <f ca="1">(IF(B55="","",$C$10*SUMIF(INDIRECT("'Points Lookup'!"&amp;VLOOKUP($B$6,Grades!A:BZ,3,FALSE)&amp;":"&amp;VLOOKUP($B$6,Grades!A:BZ,3,FALSE)),B55,INDIRECT("'Points Lookup'!"&amp;VLOOKUP($B$6,Grades!A:BZ,4,FALSE)&amp;":"&amp;VLOOKUP($B$6,Grades!A:Z,4,FALSE)))))</f>
        <v/>
      </c>
      <c r="D55" s="145"/>
      <c r="E55" s="145" t="str">
        <f ca="1">IF($B55="","",IF(SUMIF(Grades!$A:$A,$B$6,Grades!$BU:$BU)=0,"-",IF(AND(VLOOKUP($B$6,Grades!$A:$BZ,77,FALSE)="YES",B55&lt;Thresholds_Rates!$C$13),"-",$C55*Thresholds_Rates!$F$12)))</f>
        <v/>
      </c>
      <c r="F55" s="145" t="str">
        <f ca="1">IF(B55="","",IF(SUMIF(Grades!$A:$A,$B$6,Grades!$BV:$BV)=0,"-",$C55*Thresholds_Rates!$F$13))</f>
        <v/>
      </c>
      <c r="G55" s="145" t="str">
        <f ca="1">IF(B55="","",IF($B$6="Apprenticeship","-",IF(SUMIF(Grades!$A:$A,$B$6,Grades!$BW:$BW)=0,"-",IF(AND(VLOOKUP($B$6,Grades!$A:$BZ,77,FALSE)="YES",B55&gt;Thresholds_Rates!$C$14),"-",$C55*Thresholds_Rates!$F$14))))</f>
        <v/>
      </c>
      <c r="H55" s="145" t="str">
        <f ca="1">IF($B55="","",IF(($C55-(Thresholds_Rates!$C$4*12))&lt;0,0,ROUND(($C55-(Thresholds_Rates!$C$4*12))*Thresholds_Rates!$C$7,0)))</f>
        <v/>
      </c>
      <c r="I55" s="145" t="str">
        <f ca="1">IF(B55="","",(C55*Thresholds_Rates!$C$9))</f>
        <v/>
      </c>
      <c r="J55" s="145" t="str">
        <f ca="1">IF(B55="","",IF(SUMIF(Grades!$A:$A,$B$6,Grades!$BX:$BX)=0,"-",IF(AND(VLOOKUP($B$6,Grades!$A:$BZ,77,FALSE)="YES",B55&gt;Thresholds_Rates!$C$14),"-",$C55*Thresholds_Rates!$F$15)))</f>
        <v/>
      </c>
      <c r="K55" s="145"/>
      <c r="L55" s="145" t="str">
        <f t="shared" ca="1" si="0"/>
        <v/>
      </c>
      <c r="M55" s="145" t="str">
        <f t="shared" ca="1" si="1"/>
        <v/>
      </c>
      <c r="N55" s="145" t="str">
        <f t="shared" ca="1" si="2"/>
        <v/>
      </c>
      <c r="O55" s="145" t="str">
        <f t="shared" ca="1" si="3"/>
        <v/>
      </c>
      <c r="P55" s="145" t="str">
        <f t="shared" ca="1" si="4"/>
        <v/>
      </c>
      <c r="Q55" s="219"/>
      <c r="R55" s="106" t="str">
        <f ca="1">IF(OR($B55="",$C$13="Salary"),"",SUMIF(INDIRECT("'Points Lookup'!"&amp;VLOOKUP($B$6,Grades!$A:$BZ,3,FALSE)&amp;":"&amp;VLOOKUP($B$6,Grades!$A:$BZ,3,FALSE)),$B55,OFFSET(INDIRECT("'Points Lookup'!"&amp;VLOOKUP($B$6,Grades!$A:$BZ,3,FALSE)&amp;":"&amp;VLOOKUP($B$6,Grades!$A:$BZ,3,FALSE)),0,1)))</f>
        <v/>
      </c>
      <c r="S55" s="107" t="str">
        <f ca="1">IF(OR($B55="",$C$13="Salary"),"",$C55-SUMIF(INDIRECT("'Points Lookup'!"&amp;VLOOKUP($B$6,Grades!$A:$BZ,3,FALSE)&amp;":"&amp;VLOOKUP($B$6,Grades!$A:$BZ,3,FALSE)),$B55,OFFSET(INDIRECT("'Points Lookup'!"&amp;VLOOKUP($B$6,Grades!$A:$BZ,3,FALSE)&amp;":"&amp;VLOOKUP($B$6,Grades!$A:$BZ,3,FALSE)),0,2)))</f>
        <v/>
      </c>
      <c r="T55" s="106" t="str">
        <f ca="1">IF(OR($B55="",$C$13="Salary"),"",SUMIF(INDIRECT("'Points Lookup'!"&amp;VLOOKUP($B$6,Grades!$A:$BZ,3,FALSE)&amp;":"&amp;VLOOKUP($B$6,Grades!$A:$BZ,3,FALSE)),$B55,OFFSET(INDIRECT("'Points Lookup'!"&amp;VLOOKUP($B$6,Grades!$A:$BZ,3,FALSE)&amp;":"&amp;VLOOKUP($B$6,Grades!$A:$BZ,3,FALSE)),0,4)))</f>
        <v/>
      </c>
      <c r="U55" s="107" t="str">
        <f t="shared" ca="1" si="5"/>
        <v/>
      </c>
    </row>
    <row r="56" spans="2:21" x14ac:dyDescent="0.35">
      <c r="B56" s="36" t="str">
        <f ca="1">IFERROR(INDEX('Points Lookup'!$A:$A,MATCH(ROW()-13,'Points Lookup'!$AN:$AN,0)),"")</f>
        <v/>
      </c>
      <c r="C56" s="145" t="str">
        <f ca="1">(IF(B56="","",$C$10*SUMIF(INDIRECT("'Points Lookup'!"&amp;VLOOKUP($B$6,Grades!A:BZ,3,FALSE)&amp;":"&amp;VLOOKUP($B$6,Grades!A:BZ,3,FALSE)),B56,INDIRECT("'Points Lookup'!"&amp;VLOOKUP($B$6,Grades!A:BZ,4,FALSE)&amp;":"&amp;VLOOKUP($B$6,Grades!A:Z,4,FALSE)))))</f>
        <v/>
      </c>
      <c r="D56" s="145"/>
      <c r="E56" s="145" t="str">
        <f ca="1">IF($B56="","",IF(SUMIF(Grades!$A:$A,$B$6,Grades!$BU:$BU)=0,"-",IF(AND(VLOOKUP($B$6,Grades!$A:$BZ,77,FALSE)="YES",B56&lt;Thresholds_Rates!$C$13),"-",$C56*Thresholds_Rates!$F$12)))</f>
        <v/>
      </c>
      <c r="F56" s="145" t="str">
        <f ca="1">IF(B56="","",IF(SUMIF(Grades!$A:$A,$B$6,Grades!$BV:$BV)=0,"-",$C56*Thresholds_Rates!$F$13))</f>
        <v/>
      </c>
      <c r="G56" s="145" t="str">
        <f ca="1">IF(B56="","",IF($B$6="Apprenticeship","-",IF(SUMIF(Grades!$A:$A,$B$6,Grades!$BW:$BW)=0,"-",IF(AND(VLOOKUP($B$6,Grades!$A:$BZ,77,FALSE)="YES",B56&gt;Thresholds_Rates!$C$14),"-",$C56*Thresholds_Rates!$F$14))))</f>
        <v/>
      </c>
      <c r="H56" s="145" t="str">
        <f ca="1">IF($B56="","",IF(($C56-(Thresholds_Rates!$C$4*12))&lt;0,0,ROUND(($C56-(Thresholds_Rates!$C$4*12))*Thresholds_Rates!$C$7,0)))</f>
        <v/>
      </c>
      <c r="I56" s="145" t="str">
        <f ca="1">IF(B56="","",(C56*Thresholds_Rates!$C$9))</f>
        <v/>
      </c>
      <c r="J56" s="145" t="str">
        <f ca="1">IF(B56="","",IF(SUMIF(Grades!$A:$A,$B$6,Grades!$BX:$BX)=0,"-",IF(AND(VLOOKUP($B$6,Grades!$A:$BZ,77,FALSE)="YES",B56&gt;Thresholds_Rates!$C$14),"-",$C56*Thresholds_Rates!$F$15)))</f>
        <v/>
      </c>
      <c r="K56" s="145"/>
      <c r="L56" s="145" t="str">
        <f t="shared" ca="1" si="0"/>
        <v/>
      </c>
      <c r="M56" s="145" t="str">
        <f t="shared" ca="1" si="1"/>
        <v/>
      </c>
      <c r="N56" s="145" t="str">
        <f t="shared" ca="1" si="2"/>
        <v/>
      </c>
      <c r="O56" s="145" t="str">
        <f t="shared" ca="1" si="3"/>
        <v/>
      </c>
      <c r="P56" s="145" t="str">
        <f t="shared" ca="1" si="4"/>
        <v/>
      </c>
      <c r="Q56" s="219"/>
      <c r="R56" s="106" t="str">
        <f ca="1">IF(OR($B56="",$C$13="Salary"),"",SUMIF(INDIRECT("'Points Lookup'!"&amp;VLOOKUP($B$6,Grades!$A:$BZ,3,FALSE)&amp;":"&amp;VLOOKUP($B$6,Grades!$A:$BZ,3,FALSE)),$B56,OFFSET(INDIRECT("'Points Lookup'!"&amp;VLOOKUP($B$6,Grades!$A:$BZ,3,FALSE)&amp;":"&amp;VLOOKUP($B$6,Grades!$A:$BZ,3,FALSE)),0,1)))</f>
        <v/>
      </c>
      <c r="S56" s="107" t="str">
        <f ca="1">IF(OR($B56="",$C$13="Salary"),"",$C56-SUMIF(INDIRECT("'Points Lookup'!"&amp;VLOOKUP($B$6,Grades!$A:$BZ,3,FALSE)&amp;":"&amp;VLOOKUP($B$6,Grades!$A:$BZ,3,FALSE)),$B56,OFFSET(INDIRECT("'Points Lookup'!"&amp;VLOOKUP($B$6,Grades!$A:$BZ,3,FALSE)&amp;":"&amp;VLOOKUP($B$6,Grades!$A:$BZ,3,FALSE)),0,2)))</f>
        <v/>
      </c>
      <c r="T56" s="106" t="str">
        <f ca="1">IF(OR($B56="",$C$13="Salary"),"",SUMIF(INDIRECT("'Points Lookup'!"&amp;VLOOKUP($B$6,Grades!$A:$BZ,3,FALSE)&amp;":"&amp;VLOOKUP($B$6,Grades!$A:$BZ,3,FALSE)),$B56,OFFSET(INDIRECT("'Points Lookup'!"&amp;VLOOKUP($B$6,Grades!$A:$BZ,3,FALSE)&amp;":"&amp;VLOOKUP($B$6,Grades!$A:$BZ,3,FALSE)),0,4)))</f>
        <v/>
      </c>
      <c r="U56" s="107" t="str">
        <f t="shared" ca="1" si="5"/>
        <v/>
      </c>
    </row>
    <row r="57" spans="2:21" x14ac:dyDescent="0.35">
      <c r="B57" s="36" t="str">
        <f ca="1">IFERROR(INDEX('Points Lookup'!$A:$A,MATCH(ROW()-13,'Points Lookup'!$AN:$AN,0)),"")</f>
        <v/>
      </c>
      <c r="C57" s="145" t="str">
        <f ca="1">(IF(B57="","",$C$10*SUMIF(INDIRECT("'Points Lookup'!"&amp;VLOOKUP($B$6,Grades!A:BZ,3,FALSE)&amp;":"&amp;VLOOKUP($B$6,Grades!A:BZ,3,FALSE)),B57,INDIRECT("'Points Lookup'!"&amp;VLOOKUP($B$6,Grades!A:BZ,4,FALSE)&amp;":"&amp;VLOOKUP($B$6,Grades!A:Z,4,FALSE)))))</f>
        <v/>
      </c>
      <c r="D57" s="145"/>
      <c r="E57" s="145" t="str">
        <f ca="1">IF($B57="","",IF(SUMIF(Grades!$A:$A,$B$6,Grades!$BU:$BU)=0,"-",IF(AND(VLOOKUP($B$6,Grades!$A:$BZ,77,FALSE)="YES",B57&lt;Thresholds_Rates!$C$13),"-",$C57*Thresholds_Rates!$F$12)))</f>
        <v/>
      </c>
      <c r="F57" s="145" t="str">
        <f ca="1">IF(B57="","",IF(SUMIF(Grades!$A:$A,$B$6,Grades!$BV:$BV)=0,"-",$C57*Thresholds_Rates!$F$13))</f>
        <v/>
      </c>
      <c r="G57" s="145" t="str">
        <f ca="1">IF(B57="","",IF($B$6="Apprenticeship","-",IF(SUMIF(Grades!$A:$A,$B$6,Grades!$BW:$BW)=0,"-",IF(AND(VLOOKUP($B$6,Grades!$A:$BZ,77,FALSE)="YES",B57&gt;Thresholds_Rates!$C$14),"-",$C57*Thresholds_Rates!$F$14))))</f>
        <v/>
      </c>
      <c r="H57" s="145" t="str">
        <f ca="1">IF($B57="","",IF(($C57-(Thresholds_Rates!$C$4*12))&lt;0,0,ROUND(($C57-(Thresholds_Rates!$C$4*12))*Thresholds_Rates!$C$7,0)))</f>
        <v/>
      </c>
      <c r="I57" s="145" t="str">
        <f ca="1">IF(B57="","",(C57*Thresholds_Rates!$C$9))</f>
        <v/>
      </c>
      <c r="J57" s="145" t="str">
        <f ca="1">IF(B57="","",IF(SUMIF(Grades!$A:$A,$B$6,Grades!$BX:$BX)=0,"-",IF(AND(VLOOKUP($B$6,Grades!$A:$BZ,77,FALSE)="YES",B57&gt;Thresholds_Rates!$C$14),"-",$C57*Thresholds_Rates!$F$15)))</f>
        <v/>
      </c>
      <c r="K57" s="145"/>
      <c r="L57" s="145" t="str">
        <f t="shared" ca="1" si="0"/>
        <v/>
      </c>
      <c r="M57" s="145" t="str">
        <f t="shared" ca="1" si="1"/>
        <v/>
      </c>
      <c r="N57" s="145" t="str">
        <f t="shared" ca="1" si="2"/>
        <v/>
      </c>
      <c r="O57" s="145" t="str">
        <f t="shared" ca="1" si="3"/>
        <v/>
      </c>
      <c r="P57" s="145" t="str">
        <f t="shared" ca="1" si="4"/>
        <v/>
      </c>
      <c r="Q57" s="219"/>
      <c r="R57" s="106" t="str">
        <f ca="1">IF(OR($B57="",$C$13="Salary"),"",SUMIF(INDIRECT("'Points Lookup'!"&amp;VLOOKUP($B$6,Grades!$A:$BZ,3,FALSE)&amp;":"&amp;VLOOKUP($B$6,Grades!$A:$BZ,3,FALSE)),$B57,OFFSET(INDIRECT("'Points Lookup'!"&amp;VLOOKUP($B$6,Grades!$A:$BZ,3,FALSE)&amp;":"&amp;VLOOKUP($B$6,Grades!$A:$BZ,3,FALSE)),0,1)))</f>
        <v/>
      </c>
      <c r="S57" s="107" t="str">
        <f ca="1">IF(OR($B57="",$C$13="Salary"),"",$C57-SUMIF(INDIRECT("'Points Lookup'!"&amp;VLOOKUP($B$6,Grades!$A:$BZ,3,FALSE)&amp;":"&amp;VLOOKUP($B$6,Grades!$A:$BZ,3,FALSE)),$B57,OFFSET(INDIRECT("'Points Lookup'!"&amp;VLOOKUP($B$6,Grades!$A:$BZ,3,FALSE)&amp;":"&amp;VLOOKUP($B$6,Grades!$A:$BZ,3,FALSE)),0,2)))</f>
        <v/>
      </c>
      <c r="T57" s="106" t="str">
        <f ca="1">IF(OR($B57="",$C$13="Salary"),"",SUMIF(INDIRECT("'Points Lookup'!"&amp;VLOOKUP($B$6,Grades!$A:$BZ,3,FALSE)&amp;":"&amp;VLOOKUP($B$6,Grades!$A:$BZ,3,FALSE)),$B57,OFFSET(INDIRECT("'Points Lookup'!"&amp;VLOOKUP($B$6,Grades!$A:$BZ,3,FALSE)&amp;":"&amp;VLOOKUP($B$6,Grades!$A:$BZ,3,FALSE)),0,4)))</f>
        <v/>
      </c>
      <c r="U57" s="107" t="str">
        <f t="shared" ca="1" si="5"/>
        <v/>
      </c>
    </row>
    <row r="58" spans="2:21" x14ac:dyDescent="0.35">
      <c r="B58" s="36" t="str">
        <f ca="1">IFERROR(INDEX('Points Lookup'!$A:$A,MATCH(ROW()-13,'Points Lookup'!$AN:$AN,0)),"")</f>
        <v/>
      </c>
      <c r="C58" s="145" t="str">
        <f ca="1">(IF(B58="","",$C$10*SUMIF(INDIRECT("'Points Lookup'!"&amp;VLOOKUP($B$6,Grades!A:BZ,3,FALSE)&amp;":"&amp;VLOOKUP($B$6,Grades!A:BZ,3,FALSE)),B58,INDIRECT("'Points Lookup'!"&amp;VLOOKUP($B$6,Grades!A:BZ,4,FALSE)&amp;":"&amp;VLOOKUP($B$6,Grades!A:Z,4,FALSE)))))</f>
        <v/>
      </c>
      <c r="D58" s="145"/>
      <c r="E58" s="145" t="str">
        <f ca="1">IF($B58="","",IF(SUMIF(Grades!$A:$A,$B$6,Grades!$BU:$BU)=0,"-",IF(AND(VLOOKUP($B$6,Grades!$A:$BZ,77,FALSE)="YES",B58&lt;Thresholds_Rates!$C$13),"-",$C58*Thresholds_Rates!$F$12)))</f>
        <v/>
      </c>
      <c r="F58" s="145" t="str">
        <f ca="1">IF(B58="","",IF(SUMIF(Grades!$A:$A,$B$6,Grades!$BV:$BV)=0,"-",$C58*Thresholds_Rates!$F$13))</f>
        <v/>
      </c>
      <c r="G58" s="145" t="str">
        <f ca="1">IF(B58="","",IF($B$6="Apprenticeship","-",IF(SUMIF(Grades!$A:$A,$B$6,Grades!$BW:$BW)=0,"-",IF(AND(VLOOKUP($B$6,Grades!$A:$BZ,77,FALSE)="YES",B58&gt;Thresholds_Rates!$C$14),"-",$C58*Thresholds_Rates!$F$14))))</f>
        <v/>
      </c>
      <c r="H58" s="145" t="str">
        <f ca="1">IF($B58="","",IF(($C58-(Thresholds_Rates!$C$4*12))&lt;0,0,ROUND(($C58-(Thresholds_Rates!$C$4*12))*Thresholds_Rates!$C$7,0)))</f>
        <v/>
      </c>
      <c r="I58" s="145" t="str">
        <f ca="1">IF(B58="","",(C58*Thresholds_Rates!$C$9))</f>
        <v/>
      </c>
      <c r="J58" s="145" t="str">
        <f ca="1">IF(B58="","",IF(SUMIF(Grades!$A:$A,$B$6,Grades!$BX:$BX)=0,"-",IF(AND(VLOOKUP($B$6,Grades!$A:$BZ,77,FALSE)="YES",B58&gt;Thresholds_Rates!$C$14),"-",$C58*Thresholds_Rates!$F$15)))</f>
        <v/>
      </c>
      <c r="K58" s="145"/>
      <c r="L58" s="145" t="str">
        <f t="shared" ca="1" si="0"/>
        <v/>
      </c>
      <c r="M58" s="145" t="str">
        <f t="shared" ca="1" si="1"/>
        <v/>
      </c>
      <c r="N58" s="145" t="str">
        <f t="shared" ca="1" si="2"/>
        <v/>
      </c>
      <c r="O58" s="145" t="str">
        <f t="shared" ca="1" si="3"/>
        <v/>
      </c>
      <c r="P58" s="145" t="str">
        <f t="shared" ca="1" si="4"/>
        <v/>
      </c>
      <c r="Q58" s="219"/>
      <c r="R58" s="106" t="str">
        <f ca="1">IF(OR($B58="",$C$13="Salary"),"",SUMIF(INDIRECT("'Points Lookup'!"&amp;VLOOKUP($B$6,Grades!$A:$BZ,3,FALSE)&amp;":"&amp;VLOOKUP($B$6,Grades!$A:$BZ,3,FALSE)),$B58,OFFSET(INDIRECT("'Points Lookup'!"&amp;VLOOKUP($B$6,Grades!$A:$BZ,3,FALSE)&amp;":"&amp;VLOOKUP($B$6,Grades!$A:$BZ,3,FALSE)),0,1)))</f>
        <v/>
      </c>
      <c r="S58" s="107" t="str">
        <f ca="1">IF(OR($B58="",$C$13="Salary"),"",$C58-SUMIF(INDIRECT("'Points Lookup'!"&amp;VLOOKUP($B$6,Grades!$A:$BZ,3,FALSE)&amp;":"&amp;VLOOKUP($B$6,Grades!$A:$BZ,3,FALSE)),$B58,OFFSET(INDIRECT("'Points Lookup'!"&amp;VLOOKUP($B$6,Grades!$A:$BZ,3,FALSE)&amp;":"&amp;VLOOKUP($B$6,Grades!$A:$BZ,3,FALSE)),0,2)))</f>
        <v/>
      </c>
      <c r="T58" s="106" t="str">
        <f ca="1">IF(OR($B58="",$C$13="Salary"),"",SUMIF(INDIRECT("'Points Lookup'!"&amp;VLOOKUP($B$6,Grades!$A:$BZ,3,FALSE)&amp;":"&amp;VLOOKUP($B$6,Grades!$A:$BZ,3,FALSE)),$B58,OFFSET(INDIRECT("'Points Lookup'!"&amp;VLOOKUP($B$6,Grades!$A:$BZ,3,FALSE)&amp;":"&amp;VLOOKUP($B$6,Grades!$A:$BZ,3,FALSE)),0,4)))</f>
        <v/>
      </c>
      <c r="U58" s="107" t="str">
        <f t="shared" ca="1" si="5"/>
        <v/>
      </c>
    </row>
    <row r="59" spans="2:21" x14ac:dyDescent="0.35">
      <c r="B59" s="36" t="str">
        <f ca="1">IFERROR(INDEX('Points Lookup'!$A:$A,MATCH(ROW()-13,'Points Lookup'!$AN:$AN,0)),"")</f>
        <v/>
      </c>
      <c r="C59" s="145" t="str">
        <f ca="1">(IF(B59="","",$C$10*SUMIF(INDIRECT("'Points Lookup'!"&amp;VLOOKUP($B$6,Grades!A:BZ,3,FALSE)&amp;":"&amp;VLOOKUP($B$6,Grades!A:BZ,3,FALSE)),B59,INDIRECT("'Points Lookup'!"&amp;VLOOKUP($B$6,Grades!A:BZ,4,FALSE)&amp;":"&amp;VLOOKUP($B$6,Grades!A:Z,4,FALSE)))))</f>
        <v/>
      </c>
      <c r="D59" s="145"/>
      <c r="E59" s="145" t="str">
        <f ca="1">IF($B59="","",IF(SUMIF(Grades!$A:$A,$B$6,Grades!$BU:$BU)=0,"-",IF(AND(VLOOKUP($B$6,Grades!$A:$BZ,77,FALSE)="YES",B59&lt;Thresholds_Rates!$C$13),"-",$C59*Thresholds_Rates!$F$12)))</f>
        <v/>
      </c>
      <c r="F59" s="145" t="str">
        <f ca="1">IF(B59="","",IF(SUMIF(Grades!$A:$A,$B$6,Grades!$BV:$BV)=0,"-",$C59*Thresholds_Rates!$F$13))</f>
        <v/>
      </c>
      <c r="G59" s="145" t="str">
        <f ca="1">IF(B59="","",IF($B$6="Apprenticeship","-",IF(SUMIF(Grades!$A:$A,$B$6,Grades!$BW:$BW)=0,"-",IF(AND(VLOOKUP($B$6,Grades!$A:$BZ,77,FALSE)="YES",B59&gt;Thresholds_Rates!$C$14),"-",$C59*Thresholds_Rates!$F$14))))</f>
        <v/>
      </c>
      <c r="H59" s="145" t="str">
        <f ca="1">IF($B59="","",IF(($C59-(Thresholds_Rates!$C$4*12))&lt;0,0,ROUND(($C59-(Thresholds_Rates!$C$4*12))*Thresholds_Rates!$C$7,0)))</f>
        <v/>
      </c>
      <c r="I59" s="145" t="str">
        <f ca="1">IF(B59="","",(C59*Thresholds_Rates!$C$9))</f>
        <v/>
      </c>
      <c r="J59" s="145" t="str">
        <f ca="1">IF(B59="","",IF(SUMIF(Grades!$A:$A,$B$6,Grades!$BX:$BX)=0,"-",IF(AND(VLOOKUP($B$6,Grades!$A:$BZ,77,FALSE)="YES",B59&gt;Thresholds_Rates!$C$14),"-",$C59*Thresholds_Rates!$F$15)))</f>
        <v/>
      </c>
      <c r="K59" s="145"/>
      <c r="L59" s="145" t="str">
        <f t="shared" ca="1" si="0"/>
        <v/>
      </c>
      <c r="M59" s="145" t="str">
        <f t="shared" ca="1" si="1"/>
        <v/>
      </c>
      <c r="N59" s="145" t="str">
        <f t="shared" ca="1" si="2"/>
        <v/>
      </c>
      <c r="O59" s="145" t="str">
        <f t="shared" ca="1" si="3"/>
        <v/>
      </c>
      <c r="P59" s="145" t="str">
        <f t="shared" ca="1" si="4"/>
        <v/>
      </c>
      <c r="Q59" s="219"/>
      <c r="R59" s="106" t="str">
        <f ca="1">IF(OR($B59="",$C$13="Salary"),"",SUMIF(INDIRECT("'Points Lookup'!"&amp;VLOOKUP($B$6,Grades!$A:$BZ,3,FALSE)&amp;":"&amp;VLOOKUP($B$6,Grades!$A:$BZ,3,FALSE)),$B59,OFFSET(INDIRECT("'Points Lookup'!"&amp;VLOOKUP($B$6,Grades!$A:$BZ,3,FALSE)&amp;":"&amp;VLOOKUP($B$6,Grades!$A:$BZ,3,FALSE)),0,1)))</f>
        <v/>
      </c>
      <c r="S59" s="107" t="str">
        <f ca="1">IF(OR($B59="",$C$13="Salary"),"",$C59-SUMIF(INDIRECT("'Points Lookup'!"&amp;VLOOKUP($B$6,Grades!$A:$BZ,3,FALSE)&amp;":"&amp;VLOOKUP($B$6,Grades!$A:$BZ,3,FALSE)),$B59,OFFSET(INDIRECT("'Points Lookup'!"&amp;VLOOKUP($B$6,Grades!$A:$BZ,3,FALSE)&amp;":"&amp;VLOOKUP($B$6,Grades!$A:$BZ,3,FALSE)),0,2)))</f>
        <v/>
      </c>
      <c r="T59" s="106" t="str">
        <f ca="1">IF(OR($B59="",$C$13="Salary"),"",SUMIF(INDIRECT("'Points Lookup'!"&amp;VLOOKUP($B$6,Grades!$A:$BZ,3,FALSE)&amp;":"&amp;VLOOKUP($B$6,Grades!$A:$BZ,3,FALSE)),$B59,OFFSET(INDIRECT("'Points Lookup'!"&amp;VLOOKUP($B$6,Grades!$A:$BZ,3,FALSE)&amp;":"&amp;VLOOKUP($B$6,Grades!$A:$BZ,3,FALSE)),0,4)))</f>
        <v/>
      </c>
      <c r="U59" s="107" t="str">
        <f t="shared" ca="1" si="5"/>
        <v/>
      </c>
    </row>
    <row r="60" spans="2:21" x14ac:dyDescent="0.35">
      <c r="B60" s="36" t="str">
        <f ca="1">IFERROR(INDEX('Points Lookup'!$A:$A,MATCH(ROW()-13,'Points Lookup'!$AN:$AN,0)),"")</f>
        <v/>
      </c>
      <c r="C60" s="145" t="str">
        <f ca="1">(IF(B60="","",$C$10*SUMIF(INDIRECT("'Points Lookup'!"&amp;VLOOKUP($B$6,Grades!A:BZ,3,FALSE)&amp;":"&amp;VLOOKUP($B$6,Grades!A:BZ,3,FALSE)),B60,INDIRECT("'Points Lookup'!"&amp;VLOOKUP($B$6,Grades!A:BZ,4,FALSE)&amp;":"&amp;VLOOKUP($B$6,Grades!A:Z,4,FALSE)))))</f>
        <v/>
      </c>
      <c r="D60" s="145"/>
      <c r="E60" s="145" t="str">
        <f ca="1">IF($B60="","",IF(SUMIF(Grades!$A:$A,$B$6,Grades!$BU:$BU)=0,"-",IF(AND(VLOOKUP($B$6,Grades!$A:$BZ,77,FALSE)="YES",B60&lt;Thresholds_Rates!$C$13),"-",$C60*Thresholds_Rates!$F$12)))</f>
        <v/>
      </c>
      <c r="F60" s="145" t="str">
        <f ca="1">IF(B60="","",IF(SUMIF(Grades!$A:$A,$B$6,Grades!$BV:$BV)=0,"-",$C60*Thresholds_Rates!$F$13))</f>
        <v/>
      </c>
      <c r="G60" s="145" t="str">
        <f ca="1">IF(B60="","",IF($B$6="Apprenticeship","-",IF(SUMIF(Grades!$A:$A,$B$6,Grades!$BW:$BW)=0,"-",IF(AND(VLOOKUP($B$6,Grades!$A:$BZ,77,FALSE)="YES",B60&gt;Thresholds_Rates!$C$14),"-",$C60*Thresholds_Rates!$F$14))))</f>
        <v/>
      </c>
      <c r="H60" s="145" t="str">
        <f ca="1">IF($B60="","",IF(($C60-(Thresholds_Rates!$C$4*12))&lt;0,0,ROUND(($C60-(Thresholds_Rates!$C$4*12))*Thresholds_Rates!$C$7,0)))</f>
        <v/>
      </c>
      <c r="I60" s="145" t="str">
        <f ca="1">IF(B60="","",(C60*Thresholds_Rates!$C$9))</f>
        <v/>
      </c>
      <c r="J60" s="145" t="str">
        <f ca="1">IF(B60="","",IF(SUMIF(Grades!$A:$A,$B$6,Grades!$BX:$BX)=0,"-",IF(AND(VLOOKUP($B$6,Grades!$A:$BZ,77,FALSE)="YES",B60&gt;Thresholds_Rates!$C$14),"-",$C60*Thresholds_Rates!$F$15)))</f>
        <v/>
      </c>
      <c r="K60" s="145"/>
      <c r="L60" s="145" t="str">
        <f t="shared" ca="1" si="0"/>
        <v/>
      </c>
      <c r="M60" s="145" t="str">
        <f t="shared" ca="1" si="1"/>
        <v/>
      </c>
      <c r="N60" s="145" t="str">
        <f t="shared" ca="1" si="2"/>
        <v/>
      </c>
      <c r="O60" s="145" t="str">
        <f t="shared" ca="1" si="3"/>
        <v/>
      </c>
      <c r="P60" s="145" t="str">
        <f t="shared" ca="1" si="4"/>
        <v/>
      </c>
      <c r="Q60" s="219"/>
      <c r="R60" s="106" t="str">
        <f ca="1">IF(OR($B60="",$C$13="Salary"),"",SUMIF(INDIRECT("'Points Lookup'!"&amp;VLOOKUP($B$6,Grades!$A:$BZ,3,FALSE)&amp;":"&amp;VLOOKUP($B$6,Grades!$A:$BZ,3,FALSE)),$B60,OFFSET(INDIRECT("'Points Lookup'!"&amp;VLOOKUP($B$6,Grades!$A:$BZ,3,FALSE)&amp;":"&amp;VLOOKUP($B$6,Grades!$A:$BZ,3,FALSE)),0,1)))</f>
        <v/>
      </c>
      <c r="S60" s="107" t="str">
        <f ca="1">IF(OR($B60="",$C$13="Salary"),"",$C60-SUMIF(INDIRECT("'Points Lookup'!"&amp;VLOOKUP($B$6,Grades!$A:$BZ,3,FALSE)&amp;":"&amp;VLOOKUP($B$6,Grades!$A:$BZ,3,FALSE)),$B60,OFFSET(INDIRECT("'Points Lookup'!"&amp;VLOOKUP($B$6,Grades!$A:$BZ,3,FALSE)&amp;":"&amp;VLOOKUP($B$6,Grades!$A:$BZ,3,FALSE)),0,2)))</f>
        <v/>
      </c>
      <c r="T60" s="106" t="str">
        <f ca="1">IF(OR($B60="",$C$13="Salary"),"",SUMIF(INDIRECT("'Points Lookup'!"&amp;VLOOKUP($B$6,Grades!$A:$BZ,3,FALSE)&amp;":"&amp;VLOOKUP($B$6,Grades!$A:$BZ,3,FALSE)),$B60,OFFSET(INDIRECT("'Points Lookup'!"&amp;VLOOKUP($B$6,Grades!$A:$BZ,3,FALSE)&amp;":"&amp;VLOOKUP($B$6,Grades!$A:$BZ,3,FALSE)),0,4)))</f>
        <v/>
      </c>
      <c r="U60" s="107" t="str">
        <f t="shared" ca="1" si="5"/>
        <v/>
      </c>
    </row>
    <row r="61" spans="2:21" x14ac:dyDescent="0.35">
      <c r="B61" s="36" t="str">
        <f ca="1">IFERROR(INDEX('Points Lookup'!$A:$A,MATCH(ROW()-13,'Points Lookup'!$AN:$AN,0)),"")</f>
        <v/>
      </c>
      <c r="C61" s="145" t="str">
        <f ca="1">(IF(B61="","",$C$10*SUMIF(INDIRECT("'Points Lookup'!"&amp;VLOOKUP($B$6,Grades!A:BZ,3,FALSE)&amp;":"&amp;VLOOKUP($B$6,Grades!A:BZ,3,FALSE)),B61,INDIRECT("'Points Lookup'!"&amp;VLOOKUP($B$6,Grades!A:BZ,4,FALSE)&amp;":"&amp;VLOOKUP($B$6,Grades!A:Z,4,FALSE)))))</f>
        <v/>
      </c>
      <c r="D61" s="145"/>
      <c r="E61" s="145" t="str">
        <f ca="1">IF($B61="","",IF(SUMIF(Grades!$A:$A,$B$6,Grades!$BU:$BU)=0,"-",IF(AND(VLOOKUP($B$6,Grades!$A:$BZ,77,FALSE)="YES",B61&lt;Thresholds_Rates!$C$13),"-",$C61*Thresholds_Rates!$F$12)))</f>
        <v/>
      </c>
      <c r="F61" s="145" t="str">
        <f ca="1">IF(B61="","",IF(SUMIF(Grades!$A:$A,$B$6,Grades!$BV:$BV)=0,"-",$C61*Thresholds_Rates!$F$13))</f>
        <v/>
      </c>
      <c r="G61" s="145" t="str">
        <f ca="1">IF(B61="","",IF($B$6="Apprenticeship","-",IF(SUMIF(Grades!$A:$A,$B$6,Grades!$BW:$BW)=0,"-",IF(AND(VLOOKUP($B$6,Grades!$A:$BZ,77,FALSE)="YES",B61&gt;Thresholds_Rates!$C$14),"-",$C61*Thresholds_Rates!$F$14))))</f>
        <v/>
      </c>
      <c r="H61" s="145" t="str">
        <f ca="1">IF($B61="","",IF(($C61-(Thresholds_Rates!$C$4*12))&lt;0,0,ROUND(($C61-(Thresholds_Rates!$C$4*12))*Thresholds_Rates!$C$7,0)))</f>
        <v/>
      </c>
      <c r="I61" s="145" t="str">
        <f ca="1">IF(B61="","",(C61*Thresholds_Rates!$C$9))</f>
        <v/>
      </c>
      <c r="J61" s="145" t="str">
        <f ca="1">IF(B61="","",IF(SUMIF(Grades!$A:$A,$B$6,Grades!$BX:$BX)=0,"-",IF(AND(VLOOKUP($B$6,Grades!$A:$BZ,77,FALSE)="YES",B61&gt;Thresholds_Rates!$C$14),"-",$C61*Thresholds_Rates!$F$15)))</f>
        <v/>
      </c>
      <c r="K61" s="145"/>
      <c r="L61" s="145" t="str">
        <f t="shared" ca="1" si="0"/>
        <v/>
      </c>
      <c r="M61" s="145" t="str">
        <f t="shared" ca="1" si="1"/>
        <v/>
      </c>
      <c r="N61" s="145" t="str">
        <f t="shared" ca="1" si="2"/>
        <v/>
      </c>
      <c r="O61" s="145" t="str">
        <f t="shared" ca="1" si="3"/>
        <v/>
      </c>
      <c r="P61" s="145" t="str">
        <f t="shared" ca="1" si="4"/>
        <v/>
      </c>
      <c r="Q61" s="219"/>
      <c r="R61" s="106" t="str">
        <f ca="1">IF(OR($B61="",$C$13="Salary"),"",SUMIF(INDIRECT("'Points Lookup'!"&amp;VLOOKUP($B$6,Grades!$A:$BZ,3,FALSE)&amp;":"&amp;VLOOKUP($B$6,Grades!$A:$BZ,3,FALSE)),$B61,OFFSET(INDIRECT("'Points Lookup'!"&amp;VLOOKUP($B$6,Grades!$A:$BZ,3,FALSE)&amp;":"&amp;VLOOKUP($B$6,Grades!$A:$BZ,3,FALSE)),0,1)))</f>
        <v/>
      </c>
      <c r="S61" s="107" t="str">
        <f ca="1">IF(OR($B61="",$C$13="Salary"),"",$C61-SUMIF(INDIRECT("'Points Lookup'!"&amp;VLOOKUP($B$6,Grades!$A:$BZ,3,FALSE)&amp;":"&amp;VLOOKUP($B$6,Grades!$A:$BZ,3,FALSE)),$B61,OFFSET(INDIRECT("'Points Lookup'!"&amp;VLOOKUP($B$6,Grades!$A:$BZ,3,FALSE)&amp;":"&amp;VLOOKUP($B$6,Grades!$A:$BZ,3,FALSE)),0,2)))</f>
        <v/>
      </c>
      <c r="T61" s="106" t="str">
        <f ca="1">IF(OR($B61="",$C$13="Salary"),"",SUMIF(INDIRECT("'Points Lookup'!"&amp;VLOOKUP($B$6,Grades!$A:$BZ,3,FALSE)&amp;":"&amp;VLOOKUP($B$6,Grades!$A:$BZ,3,FALSE)),$B61,OFFSET(INDIRECT("'Points Lookup'!"&amp;VLOOKUP($B$6,Grades!$A:$BZ,3,FALSE)&amp;":"&amp;VLOOKUP($B$6,Grades!$A:$BZ,3,FALSE)),0,4)))</f>
        <v/>
      </c>
      <c r="U61" s="107" t="str">
        <f t="shared" ca="1" si="5"/>
        <v/>
      </c>
    </row>
    <row r="62" spans="2:21" x14ac:dyDescent="0.35">
      <c r="B62" s="36"/>
      <c r="C62" s="41"/>
      <c r="D62" s="41"/>
      <c r="E62" s="41"/>
      <c r="F62" s="41"/>
      <c r="G62" s="41"/>
      <c r="H62" s="41"/>
      <c r="I62" s="41"/>
      <c r="J62" s="41"/>
      <c r="K62" s="36"/>
      <c r="L62" s="41"/>
      <c r="M62" s="41"/>
      <c r="N62" s="41"/>
      <c r="O62" s="41"/>
      <c r="P62" s="41"/>
      <c r="Q62" s="219"/>
      <c r="R62" s="106"/>
      <c r="S62" s="107"/>
      <c r="T62" s="106"/>
      <c r="U62" s="107"/>
    </row>
    <row r="63" spans="2:21" x14ac:dyDescent="0.35">
      <c r="B63" s="36"/>
      <c r="C63" s="41"/>
      <c r="D63" s="41"/>
      <c r="E63" s="41"/>
      <c r="F63" s="41"/>
      <c r="G63" s="41"/>
      <c r="H63" s="41"/>
      <c r="I63" s="41"/>
      <c r="J63" s="41"/>
      <c r="K63" s="36"/>
      <c r="L63" s="41"/>
      <c r="M63" s="41"/>
      <c r="N63" s="41"/>
      <c r="O63" s="41"/>
      <c r="P63" s="41"/>
      <c r="Q63" s="219"/>
      <c r="R63" s="106"/>
      <c r="S63" s="107"/>
      <c r="T63" s="106"/>
      <c r="U63" s="107"/>
    </row>
    <row r="64" spans="2:21" x14ac:dyDescent="0.35">
      <c r="B64" s="36"/>
      <c r="C64" s="41"/>
      <c r="D64" s="41"/>
      <c r="E64" s="41"/>
      <c r="F64" s="41"/>
      <c r="G64" s="41"/>
      <c r="H64" s="41"/>
      <c r="I64" s="41"/>
      <c r="J64" s="41"/>
      <c r="K64" s="36"/>
      <c r="L64" s="41"/>
      <c r="M64" s="41"/>
      <c r="N64" s="41"/>
      <c r="O64" s="41"/>
      <c r="P64" s="41"/>
      <c r="Q64" s="219"/>
      <c r="R64" s="106"/>
      <c r="S64" s="107"/>
      <c r="T64" s="106"/>
      <c r="U64" s="107"/>
    </row>
    <row r="65" spans="2:21" x14ac:dyDescent="0.35">
      <c r="B65" s="36"/>
      <c r="C65" s="41"/>
      <c r="D65" s="41"/>
      <c r="E65" s="41"/>
      <c r="F65" s="41"/>
      <c r="G65" s="41"/>
      <c r="H65" s="41"/>
      <c r="I65" s="41"/>
      <c r="J65" s="41"/>
      <c r="K65" s="36"/>
      <c r="L65" s="41"/>
      <c r="M65" s="41"/>
      <c r="N65" s="41"/>
      <c r="O65" s="41"/>
      <c r="P65" s="41"/>
      <c r="Q65" s="219"/>
      <c r="R65" s="106"/>
      <c r="S65" s="107"/>
      <c r="T65" s="106"/>
      <c r="U65" s="107"/>
    </row>
    <row r="66" spans="2:21" x14ac:dyDescent="0.35">
      <c r="B66" s="36"/>
      <c r="C66" s="41"/>
      <c r="D66" s="41"/>
      <c r="E66" s="41"/>
      <c r="F66" s="41"/>
      <c r="G66" s="41"/>
      <c r="H66" s="41"/>
      <c r="I66" s="41"/>
      <c r="J66" s="41"/>
      <c r="K66" s="36"/>
      <c r="L66" s="41"/>
      <c r="M66" s="41"/>
      <c r="N66" s="41"/>
      <c r="O66" s="41"/>
      <c r="P66" s="41"/>
      <c r="Q66" s="219"/>
      <c r="R66" s="106"/>
      <c r="S66" s="107"/>
      <c r="T66" s="106"/>
      <c r="U66" s="107"/>
    </row>
    <row r="67" spans="2:21" x14ac:dyDescent="0.35">
      <c r="B67" s="36"/>
      <c r="C67" s="41"/>
      <c r="D67" s="41"/>
      <c r="E67" s="41"/>
      <c r="F67" s="41"/>
      <c r="G67" s="41"/>
      <c r="H67" s="41"/>
      <c r="I67" s="41"/>
      <c r="J67" s="41"/>
      <c r="K67" s="36"/>
      <c r="L67" s="41"/>
      <c r="M67" s="41"/>
      <c r="N67" s="41"/>
      <c r="O67" s="41"/>
      <c r="P67" s="41"/>
      <c r="Q67" s="219"/>
      <c r="R67" s="106"/>
      <c r="S67" s="107"/>
      <c r="T67" s="106"/>
      <c r="U67" s="107"/>
    </row>
    <row r="68" spans="2:21" x14ac:dyDescent="0.35">
      <c r="B68" s="36"/>
      <c r="C68" s="41"/>
      <c r="D68" s="41"/>
      <c r="E68" s="41"/>
      <c r="F68" s="41"/>
      <c r="G68" s="41"/>
      <c r="H68" s="41"/>
      <c r="I68" s="41"/>
      <c r="J68" s="41"/>
      <c r="K68" s="36"/>
      <c r="L68" s="41"/>
      <c r="M68" s="41"/>
      <c r="N68" s="41"/>
      <c r="O68" s="41"/>
      <c r="P68" s="41"/>
      <c r="Q68" s="219"/>
      <c r="R68" s="106"/>
      <c r="S68" s="107"/>
      <c r="T68" s="106"/>
      <c r="U68" s="107"/>
    </row>
    <row r="69" spans="2:21" x14ac:dyDescent="0.35">
      <c r="B69" s="36"/>
      <c r="C69" s="41"/>
      <c r="D69" s="41"/>
      <c r="E69" s="41"/>
      <c r="F69" s="41"/>
      <c r="G69" s="41"/>
      <c r="H69" s="41"/>
      <c r="I69" s="41"/>
      <c r="J69" s="41"/>
      <c r="K69" s="36"/>
      <c r="L69" s="41"/>
      <c r="M69" s="41"/>
      <c r="N69" s="41"/>
      <c r="O69" s="41"/>
      <c r="P69" s="41"/>
      <c r="Q69" s="219"/>
      <c r="R69" s="106"/>
      <c r="S69" s="107"/>
      <c r="T69" s="106"/>
      <c r="U69" s="107"/>
    </row>
    <row r="70" spans="2:21" x14ac:dyDescent="0.35">
      <c r="B70" s="36"/>
      <c r="C70" s="41"/>
      <c r="D70" s="41"/>
      <c r="E70" s="41"/>
      <c r="F70" s="41"/>
      <c r="G70" s="41"/>
      <c r="H70" s="41"/>
      <c r="I70" s="41"/>
      <c r="J70" s="41"/>
      <c r="K70" s="36"/>
      <c r="L70" s="41"/>
      <c r="M70" s="41"/>
      <c r="N70" s="41"/>
      <c r="O70" s="41"/>
      <c r="P70" s="41"/>
      <c r="Q70" s="219"/>
      <c r="R70" s="106"/>
      <c r="S70" s="107"/>
      <c r="T70" s="106"/>
      <c r="U70" s="107"/>
    </row>
    <row r="71" spans="2:21" x14ac:dyDescent="0.35">
      <c r="B71" s="36"/>
      <c r="C71" s="41"/>
      <c r="D71" s="41"/>
      <c r="E71" s="41"/>
      <c r="F71" s="41"/>
      <c r="G71" s="41"/>
      <c r="H71" s="41"/>
      <c r="I71" s="41"/>
      <c r="J71" s="41"/>
      <c r="K71" s="36"/>
      <c r="L71" s="41"/>
      <c r="M71" s="41"/>
      <c r="N71" s="41"/>
      <c r="O71" s="41"/>
      <c r="P71" s="41"/>
      <c r="Q71" s="219"/>
      <c r="R71" s="106"/>
      <c r="S71" s="107"/>
      <c r="T71" s="106"/>
      <c r="U71" s="107"/>
    </row>
    <row r="72" spans="2:21" x14ac:dyDescent="0.35">
      <c r="B72" s="36"/>
      <c r="C72" s="41"/>
      <c r="D72" s="41"/>
      <c r="E72" s="41"/>
      <c r="F72" s="41"/>
      <c r="G72" s="41"/>
      <c r="H72" s="41"/>
      <c r="I72" s="41"/>
      <c r="J72" s="41"/>
      <c r="K72" s="36"/>
      <c r="L72" s="41"/>
      <c r="M72" s="41"/>
      <c r="N72" s="41"/>
      <c r="O72" s="41"/>
      <c r="P72" s="41"/>
      <c r="Q72" s="219"/>
      <c r="R72" s="106"/>
      <c r="S72" s="107"/>
      <c r="T72" s="106"/>
      <c r="U72" s="107"/>
    </row>
    <row r="73" spans="2:21" x14ac:dyDescent="0.35">
      <c r="B73" s="36"/>
      <c r="C73" s="41"/>
      <c r="D73" s="41"/>
      <c r="E73" s="41"/>
      <c r="F73" s="41"/>
      <c r="G73" s="41"/>
      <c r="H73" s="41"/>
      <c r="I73" s="41"/>
      <c r="J73" s="41"/>
      <c r="K73" s="36"/>
      <c r="L73" s="41"/>
      <c r="M73" s="41"/>
      <c r="N73" s="41"/>
      <c r="O73" s="41"/>
      <c r="P73" s="41"/>
      <c r="Q73" s="219"/>
      <c r="R73" s="106"/>
      <c r="S73" s="107"/>
      <c r="T73" s="106"/>
      <c r="U73" s="107"/>
    </row>
    <row r="74" spans="2:21" x14ac:dyDescent="0.35">
      <c r="B74" s="36"/>
      <c r="C74" s="41"/>
      <c r="D74" s="41"/>
      <c r="E74" s="41"/>
      <c r="F74" s="41"/>
      <c r="G74" s="41"/>
      <c r="H74" s="41"/>
      <c r="I74" s="41"/>
      <c r="J74" s="41"/>
      <c r="K74" s="36"/>
      <c r="L74" s="41"/>
      <c r="M74" s="41"/>
      <c r="N74" s="41"/>
      <c r="O74" s="41"/>
      <c r="P74" s="41"/>
      <c r="Q74" s="219"/>
      <c r="R74" s="106"/>
      <c r="S74" s="107"/>
      <c r="T74" s="106"/>
      <c r="U74" s="107"/>
    </row>
    <row r="75" spans="2:21" x14ac:dyDescent="0.35">
      <c r="B75" s="36"/>
      <c r="C75" s="41"/>
      <c r="D75" s="41"/>
      <c r="E75" s="41"/>
      <c r="F75" s="41"/>
      <c r="G75" s="41"/>
      <c r="H75" s="41"/>
      <c r="I75" s="41"/>
      <c r="J75" s="41"/>
      <c r="K75" s="36"/>
      <c r="L75" s="41"/>
      <c r="M75" s="41"/>
      <c r="N75" s="41"/>
      <c r="O75" s="41"/>
      <c r="P75" s="41"/>
      <c r="Q75" s="219"/>
      <c r="R75" s="106"/>
      <c r="S75" s="107"/>
      <c r="T75" s="106"/>
      <c r="U75" s="107"/>
    </row>
    <row r="76" spans="2:21" x14ac:dyDescent="0.35">
      <c r="B76" s="36"/>
      <c r="C76" s="41"/>
      <c r="D76" s="41"/>
      <c r="E76" s="41"/>
      <c r="F76" s="41"/>
      <c r="G76" s="41"/>
      <c r="H76" s="41"/>
      <c r="I76" s="41"/>
      <c r="J76" s="41"/>
      <c r="K76" s="36"/>
      <c r="L76" s="41"/>
      <c r="M76" s="41"/>
      <c r="N76" s="41"/>
      <c r="O76" s="41"/>
      <c r="P76" s="41"/>
      <c r="Q76" s="219"/>
      <c r="R76" s="106"/>
      <c r="S76" s="107"/>
      <c r="T76" s="106"/>
      <c r="U76" s="107"/>
    </row>
    <row r="77" spans="2:21" x14ac:dyDescent="0.35">
      <c r="B77" s="36"/>
      <c r="C77" s="41"/>
      <c r="D77" s="41"/>
      <c r="E77" s="41"/>
      <c r="F77" s="41"/>
      <c r="G77" s="41"/>
      <c r="H77" s="41"/>
      <c r="I77" s="41"/>
      <c r="J77" s="41"/>
      <c r="K77" s="36"/>
      <c r="L77" s="41"/>
      <c r="M77" s="41"/>
      <c r="N77" s="41"/>
      <c r="O77" s="41"/>
      <c r="P77" s="41"/>
      <c r="Q77" s="219"/>
      <c r="R77" s="106"/>
      <c r="S77" s="107"/>
      <c r="T77" s="106"/>
      <c r="U77" s="107"/>
    </row>
    <row r="78" spans="2:21" x14ac:dyDescent="0.35">
      <c r="B78" s="36"/>
      <c r="C78" s="41"/>
      <c r="D78" s="41"/>
      <c r="E78" s="41"/>
      <c r="F78" s="41"/>
      <c r="G78" s="41"/>
      <c r="H78" s="41"/>
      <c r="I78" s="41"/>
      <c r="J78" s="41"/>
      <c r="K78" s="36"/>
      <c r="L78" s="41"/>
      <c r="M78" s="41"/>
      <c r="N78" s="41"/>
      <c r="O78" s="41"/>
      <c r="P78" s="41"/>
      <c r="Q78" s="219"/>
      <c r="R78" s="106"/>
      <c r="S78" s="107"/>
      <c r="T78" s="106"/>
      <c r="U78" s="107"/>
    </row>
    <row r="79" spans="2:21" x14ac:dyDescent="0.35">
      <c r="B79" s="36"/>
      <c r="C79" s="41"/>
      <c r="D79" s="41"/>
      <c r="E79" s="41"/>
      <c r="F79" s="41"/>
      <c r="G79" s="41"/>
      <c r="H79" s="41"/>
      <c r="I79" s="41"/>
      <c r="J79" s="41"/>
      <c r="K79" s="36"/>
      <c r="L79" s="41"/>
      <c r="M79" s="41"/>
      <c r="N79" s="41"/>
      <c r="O79" s="41"/>
      <c r="P79" s="41"/>
      <c r="Q79" s="219"/>
      <c r="R79" s="106"/>
      <c r="S79" s="107"/>
      <c r="T79" s="106"/>
      <c r="U79" s="107"/>
    </row>
    <row r="80" spans="2:21" x14ac:dyDescent="0.35">
      <c r="B80" s="36"/>
      <c r="C80" s="41"/>
      <c r="D80" s="41"/>
      <c r="E80" s="41"/>
      <c r="F80" s="41"/>
      <c r="G80" s="41"/>
      <c r="H80" s="41"/>
      <c r="I80" s="41"/>
      <c r="J80" s="41"/>
      <c r="K80" s="36"/>
      <c r="L80" s="41"/>
      <c r="M80" s="41"/>
      <c r="N80" s="41"/>
      <c r="O80" s="41"/>
      <c r="P80" s="41"/>
      <c r="Q80" s="219"/>
      <c r="R80" s="106"/>
      <c r="S80" s="107"/>
      <c r="T80" s="106"/>
      <c r="U80" s="107"/>
    </row>
    <row r="81" spans="2:21" x14ac:dyDescent="0.35">
      <c r="B81" s="36"/>
      <c r="C81" s="41"/>
      <c r="D81" s="41"/>
      <c r="E81" s="41"/>
      <c r="F81" s="41"/>
      <c r="G81" s="41"/>
      <c r="H81" s="41"/>
      <c r="I81" s="41"/>
      <c r="J81" s="41"/>
      <c r="K81" s="36"/>
      <c r="L81" s="41"/>
      <c r="M81" s="41"/>
      <c r="N81" s="41"/>
      <c r="O81" s="41"/>
      <c r="P81" s="41"/>
      <c r="Q81" s="219"/>
      <c r="R81" s="106"/>
      <c r="S81" s="107"/>
      <c r="T81" s="106"/>
      <c r="U81" s="107"/>
    </row>
    <row r="82" spans="2:21" x14ac:dyDescent="0.35">
      <c r="B82" s="36"/>
      <c r="C82" s="41"/>
      <c r="D82" s="41"/>
      <c r="E82" s="41"/>
      <c r="F82" s="41"/>
      <c r="G82" s="41"/>
      <c r="H82" s="41"/>
      <c r="I82" s="41"/>
      <c r="J82" s="41"/>
      <c r="K82" s="36"/>
      <c r="L82" s="41"/>
      <c r="M82" s="41"/>
      <c r="N82" s="41"/>
      <c r="O82" s="41"/>
      <c r="P82" s="41"/>
      <c r="Q82" s="219"/>
      <c r="R82" s="106"/>
      <c r="S82" s="107"/>
      <c r="T82" s="106"/>
      <c r="U82" s="107"/>
    </row>
    <row r="83" spans="2:21" x14ac:dyDescent="0.35">
      <c r="B83" s="36"/>
      <c r="C83" s="41"/>
      <c r="D83" s="41"/>
      <c r="E83" s="41"/>
      <c r="F83" s="41"/>
      <c r="G83" s="41"/>
      <c r="H83" s="41"/>
      <c r="I83" s="41"/>
      <c r="J83" s="41"/>
      <c r="K83" s="36"/>
      <c r="L83" s="41"/>
      <c r="M83" s="41"/>
      <c r="N83" s="41"/>
      <c r="O83" s="41"/>
      <c r="P83" s="41"/>
      <c r="Q83" s="219"/>
      <c r="R83" s="106"/>
      <c r="S83" s="107"/>
      <c r="T83" s="106"/>
      <c r="U83" s="107"/>
    </row>
    <row r="84" spans="2:21" x14ac:dyDescent="0.35">
      <c r="B84" s="36"/>
      <c r="C84" s="41"/>
      <c r="D84" s="41"/>
      <c r="E84" s="41"/>
      <c r="F84" s="41"/>
      <c r="G84" s="41"/>
      <c r="H84" s="41"/>
      <c r="I84" s="41"/>
      <c r="J84" s="41"/>
      <c r="K84" s="36"/>
      <c r="L84" s="41"/>
      <c r="M84" s="41"/>
      <c r="N84" s="41"/>
      <c r="O84" s="41"/>
      <c r="P84" s="41"/>
      <c r="Q84" s="219"/>
      <c r="R84" s="106"/>
      <c r="S84" s="107"/>
      <c r="T84" s="106"/>
      <c r="U84" s="107"/>
    </row>
    <row r="85" spans="2:21" x14ac:dyDescent="0.35">
      <c r="B85" s="36"/>
      <c r="C85" s="41"/>
      <c r="D85" s="41"/>
      <c r="E85" s="41"/>
      <c r="F85" s="41"/>
      <c r="G85" s="41"/>
      <c r="H85" s="41"/>
      <c r="I85" s="41"/>
      <c r="J85" s="41"/>
      <c r="K85" s="36"/>
      <c r="L85" s="41"/>
      <c r="M85" s="41"/>
      <c r="N85" s="41"/>
      <c r="O85" s="41"/>
      <c r="P85" s="41"/>
      <c r="Q85" s="219"/>
      <c r="R85" s="106"/>
      <c r="S85" s="107"/>
      <c r="T85" s="106"/>
      <c r="U85" s="107"/>
    </row>
    <row r="86" spans="2:21" x14ac:dyDescent="0.35">
      <c r="B86" s="36"/>
      <c r="C86" s="41"/>
      <c r="D86" s="41"/>
      <c r="E86" s="41"/>
      <c r="F86" s="41"/>
      <c r="G86" s="41"/>
      <c r="H86" s="41"/>
      <c r="I86" s="41"/>
      <c r="J86" s="41"/>
      <c r="K86" s="36"/>
      <c r="L86" s="41"/>
      <c r="M86" s="41"/>
      <c r="N86" s="41"/>
      <c r="O86" s="41"/>
      <c r="P86" s="41"/>
      <c r="Q86" s="219"/>
      <c r="R86" s="106"/>
      <c r="S86" s="107"/>
      <c r="T86" s="106"/>
      <c r="U86" s="107"/>
    </row>
    <row r="87" spans="2:21" x14ac:dyDescent="0.35">
      <c r="B87" s="36"/>
      <c r="C87" s="41"/>
      <c r="D87" s="41"/>
      <c r="E87" s="41"/>
      <c r="F87" s="41"/>
      <c r="G87" s="41"/>
      <c r="H87" s="41"/>
      <c r="I87" s="41"/>
      <c r="J87" s="41"/>
      <c r="K87" s="36"/>
      <c r="L87" s="41"/>
      <c r="M87" s="41"/>
      <c r="N87" s="41"/>
      <c r="O87" s="41"/>
      <c r="P87" s="41"/>
      <c r="Q87" s="219"/>
      <c r="R87" s="106"/>
      <c r="S87" s="107"/>
      <c r="T87" s="106"/>
      <c r="U87" s="107"/>
    </row>
    <row r="88" spans="2:21" x14ac:dyDescent="0.35">
      <c r="B88" s="36"/>
      <c r="C88" s="41"/>
      <c r="D88" s="41"/>
      <c r="E88" s="41"/>
      <c r="F88" s="41"/>
      <c r="G88" s="41"/>
      <c r="H88" s="41"/>
      <c r="I88" s="41"/>
      <c r="J88" s="41"/>
      <c r="K88" s="36"/>
      <c r="L88" s="41"/>
      <c r="M88" s="41"/>
      <c r="N88" s="41"/>
      <c r="O88" s="41"/>
      <c r="P88" s="41"/>
      <c r="Q88" s="219"/>
      <c r="R88" s="106"/>
      <c r="S88" s="107"/>
      <c r="T88" s="106"/>
      <c r="U88" s="107"/>
    </row>
    <row r="89" spans="2:21" x14ac:dyDescent="0.35">
      <c r="B89" s="36"/>
      <c r="C89" s="41"/>
      <c r="D89" s="41"/>
      <c r="E89" s="41"/>
      <c r="F89" s="41"/>
      <c r="G89" s="41"/>
      <c r="H89" s="41"/>
      <c r="I89" s="41"/>
      <c r="J89" s="41"/>
      <c r="K89" s="36"/>
      <c r="L89" s="41"/>
      <c r="M89" s="41"/>
      <c r="N89" s="41"/>
      <c r="O89" s="41"/>
      <c r="P89" s="41"/>
      <c r="Q89" s="219"/>
      <c r="R89" s="106"/>
      <c r="S89" s="107"/>
      <c r="T89" s="106"/>
      <c r="U89" s="107"/>
    </row>
    <row r="90" spans="2:21" x14ac:dyDescent="0.35">
      <c r="B90" s="36"/>
      <c r="C90" s="41"/>
      <c r="D90" s="41"/>
      <c r="E90" s="41"/>
      <c r="F90" s="41"/>
      <c r="G90" s="41"/>
      <c r="H90" s="41"/>
      <c r="I90" s="41"/>
      <c r="J90" s="41"/>
      <c r="K90" s="36"/>
      <c r="L90" s="41"/>
      <c r="M90" s="41"/>
      <c r="N90" s="41"/>
      <c r="O90" s="41"/>
      <c r="P90" s="41"/>
      <c r="Q90" s="219"/>
      <c r="R90" s="106"/>
      <c r="S90" s="107"/>
      <c r="T90" s="106"/>
      <c r="U90" s="107"/>
    </row>
    <row r="91" spans="2:21" x14ac:dyDescent="0.35">
      <c r="B91" s="36"/>
      <c r="C91" s="41"/>
      <c r="D91" s="41"/>
      <c r="E91" s="41"/>
      <c r="F91" s="41"/>
      <c r="G91" s="41"/>
      <c r="H91" s="41"/>
      <c r="I91" s="41"/>
      <c r="J91" s="41"/>
      <c r="K91" s="36"/>
      <c r="L91" s="41"/>
      <c r="M91" s="41"/>
      <c r="N91" s="41"/>
      <c r="O91" s="41"/>
      <c r="P91" s="41"/>
      <c r="Q91" s="219"/>
      <c r="R91" s="106"/>
      <c r="S91" s="107"/>
      <c r="T91" s="106"/>
      <c r="U91" s="107"/>
    </row>
    <row r="92" spans="2:21" x14ac:dyDescent="0.35">
      <c r="B92" s="36"/>
      <c r="C92" s="41"/>
      <c r="D92" s="41"/>
      <c r="E92" s="41"/>
      <c r="F92" s="41"/>
      <c r="G92" s="41"/>
      <c r="H92" s="41"/>
      <c r="I92" s="41"/>
      <c r="J92" s="41"/>
      <c r="K92" s="36"/>
      <c r="L92" s="41"/>
      <c r="M92" s="41"/>
      <c r="N92" s="41"/>
      <c r="O92" s="41"/>
      <c r="P92" s="41"/>
      <c r="Q92" s="219"/>
      <c r="R92" s="106"/>
      <c r="S92" s="107"/>
      <c r="T92" s="106"/>
      <c r="U92" s="107"/>
    </row>
    <row r="93" spans="2:21" x14ac:dyDescent="0.35">
      <c r="B93" s="36"/>
      <c r="C93" s="41"/>
      <c r="D93" s="41"/>
      <c r="E93" s="41"/>
      <c r="F93" s="41"/>
      <c r="G93" s="41"/>
      <c r="H93" s="41"/>
      <c r="I93" s="41"/>
      <c r="J93" s="41"/>
      <c r="K93" s="36"/>
      <c r="L93" s="41"/>
      <c r="M93" s="41"/>
      <c r="N93" s="41"/>
      <c r="O93" s="41"/>
      <c r="P93" s="41"/>
      <c r="Q93" s="219"/>
      <c r="R93" s="106"/>
      <c r="S93" s="107"/>
      <c r="T93" s="106"/>
      <c r="U93" s="107"/>
    </row>
    <row r="94" spans="2:21" x14ac:dyDescent="0.35">
      <c r="B94" s="36"/>
      <c r="C94" s="41"/>
      <c r="D94" s="41"/>
      <c r="E94" s="41"/>
      <c r="F94" s="41"/>
      <c r="G94" s="41"/>
      <c r="H94" s="41"/>
      <c r="I94" s="41"/>
      <c r="J94" s="41"/>
      <c r="K94" s="36"/>
      <c r="L94" s="41"/>
      <c r="M94" s="41"/>
      <c r="N94" s="41"/>
      <c r="O94" s="41"/>
      <c r="P94" s="41"/>
      <c r="Q94" s="219"/>
      <c r="R94" s="106"/>
      <c r="S94" s="107"/>
      <c r="T94" s="106"/>
      <c r="U94" s="107"/>
    </row>
    <row r="95" spans="2:21" x14ac:dyDescent="0.35">
      <c r="B95" s="36"/>
      <c r="C95" s="41"/>
      <c r="D95" s="41"/>
      <c r="E95" s="41"/>
      <c r="F95" s="41"/>
      <c r="G95" s="41"/>
      <c r="H95" s="41"/>
      <c r="I95" s="41"/>
      <c r="J95" s="41"/>
      <c r="K95" s="36"/>
      <c r="L95" s="41"/>
      <c r="M95" s="41"/>
      <c r="N95" s="41"/>
      <c r="O95" s="41"/>
      <c r="P95" s="41"/>
      <c r="Q95" s="219"/>
      <c r="R95" s="106"/>
      <c r="S95" s="107"/>
      <c r="T95" s="106"/>
      <c r="U95" s="107"/>
    </row>
    <row r="96" spans="2:21" x14ac:dyDescent="0.35">
      <c r="B96" s="36"/>
      <c r="C96" s="41"/>
      <c r="D96" s="41"/>
      <c r="E96" s="41"/>
      <c r="F96" s="41"/>
      <c r="G96" s="41"/>
      <c r="H96" s="41"/>
      <c r="I96" s="41"/>
      <c r="J96" s="41"/>
      <c r="K96" s="36"/>
      <c r="L96" s="41"/>
      <c r="M96" s="41"/>
      <c r="N96" s="41"/>
      <c r="O96" s="41"/>
      <c r="P96" s="41"/>
      <c r="Q96" s="219"/>
      <c r="R96" s="106"/>
      <c r="S96" s="107"/>
      <c r="T96" s="106"/>
      <c r="U96" s="107"/>
    </row>
    <row r="97" spans="2:21" x14ac:dyDescent="0.35">
      <c r="B97" s="36"/>
      <c r="C97" s="41"/>
      <c r="D97" s="41"/>
      <c r="E97" s="41"/>
      <c r="F97" s="41"/>
      <c r="G97" s="41"/>
      <c r="H97" s="41"/>
      <c r="I97" s="41"/>
      <c r="J97" s="41"/>
      <c r="K97" s="36"/>
      <c r="L97" s="41"/>
      <c r="M97" s="41"/>
      <c r="N97" s="41"/>
      <c r="O97" s="41"/>
      <c r="P97" s="41"/>
      <c r="Q97" s="219"/>
      <c r="R97" s="106"/>
      <c r="S97" s="107"/>
      <c r="T97" s="106"/>
      <c r="U97" s="107"/>
    </row>
    <row r="98" spans="2:21" x14ac:dyDescent="0.35">
      <c r="B98" s="36"/>
      <c r="C98" s="41"/>
      <c r="D98" s="41"/>
      <c r="E98" s="41"/>
      <c r="F98" s="41"/>
      <c r="G98" s="41"/>
      <c r="H98" s="41"/>
      <c r="I98" s="41"/>
      <c r="J98" s="41"/>
      <c r="K98" s="36"/>
      <c r="L98" s="41"/>
      <c r="M98" s="41"/>
      <c r="N98" s="41"/>
      <c r="O98" s="41"/>
      <c r="P98" s="41"/>
      <c r="Q98" s="219"/>
      <c r="R98" s="106"/>
      <c r="S98" s="107"/>
      <c r="T98" s="106"/>
      <c r="U98" s="107"/>
    </row>
    <row r="99" spans="2:21" x14ac:dyDescent="0.35">
      <c r="B99" s="36"/>
      <c r="C99" s="41"/>
      <c r="D99" s="41"/>
      <c r="E99" s="41"/>
      <c r="F99" s="41"/>
      <c r="G99" s="41"/>
      <c r="H99" s="41"/>
      <c r="I99" s="41"/>
      <c r="J99" s="41"/>
      <c r="K99" s="36"/>
      <c r="L99" s="41"/>
      <c r="M99" s="41"/>
      <c r="N99" s="41"/>
      <c r="O99" s="41"/>
      <c r="P99" s="41"/>
      <c r="Q99" s="219"/>
      <c r="R99" s="106"/>
      <c r="S99" s="107"/>
      <c r="T99" s="106"/>
      <c r="U99" s="107"/>
    </row>
    <row r="100" spans="2:21" x14ac:dyDescent="0.35">
      <c r="B100" s="36"/>
      <c r="C100" s="41"/>
      <c r="D100" s="41"/>
      <c r="E100" s="41"/>
      <c r="F100" s="41"/>
      <c r="G100" s="41"/>
      <c r="H100" s="41"/>
      <c r="I100" s="41"/>
      <c r="J100" s="41"/>
      <c r="K100" s="36"/>
      <c r="L100" s="41"/>
      <c r="M100" s="41"/>
      <c r="N100" s="41"/>
      <c r="O100" s="41"/>
      <c r="P100" s="41"/>
      <c r="Q100" s="219"/>
      <c r="R100" s="106"/>
      <c r="S100" s="107"/>
      <c r="T100" s="106"/>
      <c r="U100" s="107"/>
    </row>
    <row r="101" spans="2:21" x14ac:dyDescent="0.35">
      <c r="B101" s="36"/>
      <c r="C101" s="41"/>
      <c r="D101" s="41"/>
      <c r="E101" s="41"/>
      <c r="F101" s="41"/>
      <c r="G101" s="41"/>
      <c r="H101" s="41"/>
      <c r="I101" s="41"/>
      <c r="J101" s="41"/>
      <c r="K101" s="36"/>
      <c r="L101" s="41"/>
      <c r="M101" s="41"/>
      <c r="N101" s="41"/>
      <c r="O101" s="41"/>
      <c r="P101" s="41"/>
      <c r="Q101" s="219"/>
      <c r="R101" s="106"/>
      <c r="S101" s="107"/>
      <c r="T101" s="106"/>
      <c r="U101" s="107"/>
    </row>
    <row r="102" spans="2:21" x14ac:dyDescent="0.35">
      <c r="B102" s="36"/>
      <c r="C102" s="41"/>
      <c r="D102" s="41"/>
      <c r="E102" s="41"/>
      <c r="F102" s="41"/>
      <c r="G102" s="41"/>
      <c r="H102" s="41"/>
      <c r="I102" s="41"/>
      <c r="J102" s="41"/>
      <c r="K102" s="36"/>
      <c r="L102" s="41"/>
      <c r="M102" s="41"/>
      <c r="N102" s="41"/>
      <c r="O102" s="41"/>
      <c r="P102" s="41"/>
      <c r="Q102" s="219"/>
      <c r="R102" s="106"/>
      <c r="S102" s="107"/>
      <c r="T102" s="106"/>
      <c r="U102" s="107"/>
    </row>
    <row r="103" spans="2:21" x14ac:dyDescent="0.35">
      <c r="B103" s="36"/>
      <c r="C103" s="41"/>
      <c r="D103" s="41"/>
      <c r="E103" s="41"/>
      <c r="F103" s="41"/>
      <c r="G103" s="41"/>
      <c r="H103" s="41"/>
      <c r="I103" s="41"/>
      <c r="J103" s="41"/>
      <c r="K103" s="36"/>
      <c r="L103" s="41"/>
      <c r="M103" s="41"/>
      <c r="N103" s="41"/>
      <c r="O103" s="41"/>
      <c r="P103" s="41"/>
      <c r="Q103" s="219"/>
      <c r="R103" s="106"/>
      <c r="S103" s="107"/>
      <c r="T103" s="106"/>
      <c r="U103" s="107"/>
    </row>
    <row r="104" spans="2:21" x14ac:dyDescent="0.35">
      <c r="B104" s="36"/>
      <c r="C104" s="41"/>
      <c r="D104" s="41"/>
      <c r="E104" s="41"/>
      <c r="F104" s="41"/>
      <c r="G104" s="41"/>
      <c r="H104" s="41"/>
      <c r="I104" s="41"/>
      <c r="J104" s="41"/>
      <c r="K104" s="36"/>
      <c r="L104" s="41"/>
      <c r="M104" s="41"/>
      <c r="N104" s="41"/>
      <c r="O104" s="41"/>
      <c r="P104" s="41"/>
      <c r="Q104" s="219"/>
      <c r="R104" s="106"/>
      <c r="S104" s="107"/>
      <c r="T104" s="106"/>
      <c r="U104" s="107"/>
    </row>
    <row r="105" spans="2:21" x14ac:dyDescent="0.35">
      <c r="B105" s="36"/>
      <c r="C105" s="41"/>
      <c r="D105" s="41"/>
      <c r="E105" s="41"/>
      <c r="F105" s="41"/>
      <c r="G105" s="41"/>
      <c r="H105" s="41"/>
      <c r="I105" s="41"/>
      <c r="J105" s="41"/>
      <c r="K105" s="36"/>
      <c r="L105" s="41"/>
      <c r="M105" s="41"/>
      <c r="N105" s="41"/>
      <c r="O105" s="41"/>
      <c r="P105" s="41"/>
      <c r="Q105" s="219"/>
      <c r="R105" s="106"/>
      <c r="S105" s="107"/>
      <c r="T105" s="106"/>
      <c r="U105" s="107"/>
    </row>
    <row r="106" spans="2:21" x14ac:dyDescent="0.35">
      <c r="B106" s="36"/>
      <c r="C106" s="41"/>
      <c r="D106" s="41"/>
      <c r="E106" s="41"/>
      <c r="F106" s="41"/>
      <c r="G106" s="41"/>
      <c r="H106" s="41"/>
      <c r="I106" s="41"/>
      <c r="J106" s="41"/>
      <c r="K106" s="36"/>
      <c r="L106" s="41"/>
      <c r="M106" s="41"/>
      <c r="N106" s="41"/>
      <c r="O106" s="41"/>
      <c r="P106" s="41"/>
      <c r="Q106" s="219"/>
      <c r="R106" s="42"/>
      <c r="S106" s="43"/>
      <c r="T106" s="42"/>
      <c r="U106" s="43"/>
    </row>
    <row r="107" spans="2:21" x14ac:dyDescent="0.35">
      <c r="B107" s="36"/>
      <c r="C107" s="41"/>
      <c r="D107" s="41"/>
      <c r="E107" s="41"/>
      <c r="F107" s="41"/>
      <c r="G107" s="41"/>
      <c r="H107" s="41"/>
      <c r="I107" s="41"/>
      <c r="J107" s="41"/>
      <c r="K107" s="36"/>
      <c r="L107" s="41"/>
      <c r="M107" s="41"/>
      <c r="N107" s="41"/>
      <c r="O107" s="41"/>
      <c r="P107" s="41"/>
      <c r="Q107" s="219"/>
      <c r="R107" s="42"/>
      <c r="S107" s="43"/>
      <c r="T107" s="42"/>
      <c r="U107" s="43"/>
    </row>
    <row r="108" spans="2:21" x14ac:dyDescent="0.35">
      <c r="B108" s="36"/>
      <c r="C108" s="41"/>
      <c r="D108" s="41"/>
      <c r="E108" s="41"/>
      <c r="F108" s="41"/>
      <c r="G108" s="41"/>
      <c r="H108" s="41"/>
      <c r="I108" s="41"/>
      <c r="J108" s="41"/>
      <c r="K108" s="36"/>
      <c r="L108" s="41"/>
      <c r="M108" s="41"/>
      <c r="N108" s="41"/>
      <c r="O108" s="41"/>
      <c r="P108" s="41"/>
      <c r="Q108" s="219"/>
      <c r="R108" s="42"/>
      <c r="S108" s="43"/>
      <c r="T108" s="42"/>
      <c r="U108" s="43"/>
    </row>
    <row r="109" spans="2:21" x14ac:dyDescent="0.35">
      <c r="B109" s="36"/>
      <c r="C109" s="41"/>
      <c r="D109" s="41"/>
      <c r="E109" s="41"/>
      <c r="F109" s="41"/>
      <c r="G109" s="41"/>
      <c r="H109" s="41"/>
      <c r="I109" s="41"/>
      <c r="J109" s="41"/>
      <c r="K109" s="36"/>
      <c r="L109" s="41"/>
      <c r="M109" s="41"/>
      <c r="N109" s="41"/>
      <c r="O109" s="41"/>
      <c r="P109" s="41"/>
      <c r="Q109" s="219"/>
      <c r="R109" s="42"/>
      <c r="S109" s="43"/>
      <c r="T109" s="42"/>
      <c r="U109" s="43"/>
    </row>
    <row r="110" spans="2:21" x14ac:dyDescent="0.35">
      <c r="B110" s="36"/>
      <c r="C110" s="41"/>
      <c r="D110" s="41"/>
      <c r="E110" s="41"/>
      <c r="F110" s="41"/>
      <c r="G110" s="41"/>
      <c r="H110" s="41"/>
      <c r="I110" s="41"/>
      <c r="J110" s="41"/>
      <c r="K110" s="36"/>
      <c r="L110" s="41"/>
      <c r="M110" s="41"/>
      <c r="N110" s="41"/>
      <c r="O110" s="41"/>
      <c r="P110" s="41"/>
      <c r="Q110" s="219"/>
      <c r="R110" s="42"/>
      <c r="S110" s="43"/>
      <c r="T110" s="42"/>
      <c r="U110" s="43"/>
    </row>
    <row r="111" spans="2:21" x14ac:dyDescent="0.35">
      <c r="B111" s="36"/>
      <c r="C111" s="41"/>
      <c r="D111" s="41"/>
      <c r="E111" s="41"/>
      <c r="F111" s="41"/>
      <c r="G111" s="41"/>
      <c r="H111" s="41"/>
      <c r="I111" s="41"/>
      <c r="J111" s="41"/>
      <c r="K111" s="36"/>
      <c r="L111" s="41"/>
      <c r="M111" s="41"/>
      <c r="N111" s="41"/>
      <c r="O111" s="41"/>
      <c r="P111" s="41"/>
      <c r="Q111" s="219"/>
      <c r="R111" s="42"/>
      <c r="S111" s="43"/>
      <c r="T111" s="42"/>
      <c r="U111" s="43"/>
    </row>
    <row r="112" spans="2:21" x14ac:dyDescent="0.35">
      <c r="B112" s="36"/>
      <c r="C112" s="41"/>
      <c r="D112" s="41"/>
      <c r="E112" s="41"/>
      <c r="F112" s="41"/>
      <c r="G112" s="41"/>
      <c r="H112" s="41"/>
      <c r="I112" s="41"/>
      <c r="J112" s="41"/>
      <c r="K112" s="36"/>
      <c r="L112" s="41"/>
      <c r="M112" s="41"/>
      <c r="N112" s="41"/>
      <c r="O112" s="41"/>
      <c r="P112" s="41"/>
      <c r="Q112" s="219"/>
      <c r="R112" s="42"/>
      <c r="S112" s="43"/>
      <c r="T112" s="42"/>
      <c r="U112" s="43"/>
    </row>
    <row r="113" spans="2:21" x14ac:dyDescent="0.35">
      <c r="B113" s="36"/>
      <c r="C113" s="41"/>
      <c r="D113" s="41"/>
      <c r="E113" s="41"/>
      <c r="F113" s="41"/>
      <c r="G113" s="41"/>
      <c r="H113" s="41"/>
      <c r="I113" s="41"/>
      <c r="J113" s="41"/>
      <c r="K113" s="36"/>
      <c r="L113" s="41"/>
      <c r="M113" s="41"/>
      <c r="N113" s="41"/>
      <c r="O113" s="41"/>
      <c r="P113" s="41"/>
      <c r="Q113" s="219"/>
      <c r="R113" s="42"/>
      <c r="S113" s="43"/>
      <c r="T113" s="42"/>
      <c r="U113" s="43"/>
    </row>
    <row r="114" spans="2:21" x14ac:dyDescent="0.35">
      <c r="B114" s="36"/>
      <c r="C114" s="41"/>
      <c r="D114" s="41"/>
      <c r="E114" s="41"/>
      <c r="F114" s="41"/>
      <c r="G114" s="41"/>
      <c r="H114" s="41"/>
      <c r="I114" s="41"/>
      <c r="J114" s="41"/>
      <c r="K114" s="36"/>
      <c r="L114" s="41"/>
      <c r="M114" s="41"/>
      <c r="N114" s="41"/>
      <c r="O114" s="41"/>
      <c r="P114" s="41"/>
      <c r="Q114" s="219"/>
      <c r="R114" s="42"/>
      <c r="S114" s="43"/>
      <c r="T114" s="42"/>
      <c r="U114" s="43"/>
    </row>
    <row r="115" spans="2:21" x14ac:dyDescent="0.35">
      <c r="B115" s="36"/>
      <c r="C115" s="41"/>
      <c r="D115" s="41"/>
      <c r="E115" s="41"/>
      <c r="F115" s="41"/>
      <c r="G115" s="41"/>
      <c r="H115" s="41"/>
      <c r="I115" s="41"/>
      <c r="J115" s="41"/>
      <c r="K115" s="36"/>
      <c r="L115" s="41"/>
      <c r="M115" s="41"/>
      <c r="N115" s="41"/>
      <c r="O115" s="41"/>
      <c r="P115" s="41"/>
      <c r="Q115" s="219"/>
      <c r="R115" s="42"/>
      <c r="S115" s="43"/>
      <c r="T115" s="42"/>
      <c r="U115" s="43"/>
    </row>
    <row r="116" spans="2:21" x14ac:dyDescent="0.35">
      <c r="B116" s="36"/>
      <c r="C116" s="41"/>
      <c r="D116" s="41"/>
      <c r="E116" s="41"/>
      <c r="F116" s="41"/>
      <c r="G116" s="41"/>
      <c r="H116" s="41"/>
      <c r="I116" s="41"/>
      <c r="J116" s="41"/>
      <c r="K116" s="36"/>
      <c r="L116" s="41"/>
      <c r="M116" s="41"/>
      <c r="N116" s="41"/>
      <c r="O116" s="41"/>
      <c r="P116" s="41"/>
      <c r="Q116" s="219"/>
      <c r="R116" s="42"/>
      <c r="S116" s="43"/>
      <c r="T116" s="42"/>
      <c r="U116" s="43"/>
    </row>
    <row r="117" spans="2:21" x14ac:dyDescent="0.35">
      <c r="B117" s="36"/>
      <c r="C117" s="41"/>
      <c r="D117" s="41"/>
      <c r="E117" s="41"/>
      <c r="F117" s="41"/>
      <c r="G117" s="41"/>
      <c r="H117" s="41"/>
      <c r="I117" s="41"/>
      <c r="J117" s="41"/>
      <c r="K117" s="36"/>
      <c r="L117" s="41"/>
      <c r="M117" s="41"/>
      <c r="N117" s="41"/>
      <c r="O117" s="41"/>
      <c r="P117" s="41"/>
      <c r="Q117" s="219"/>
      <c r="R117" s="42"/>
      <c r="S117" s="43"/>
      <c r="T117" s="42"/>
      <c r="U117" s="43"/>
    </row>
    <row r="118" spans="2:21" x14ac:dyDescent="0.35">
      <c r="B118" s="36"/>
      <c r="C118" s="41"/>
      <c r="D118" s="41"/>
      <c r="E118" s="41"/>
      <c r="F118" s="41"/>
      <c r="G118" s="41"/>
      <c r="H118" s="41"/>
      <c r="I118" s="41"/>
      <c r="J118" s="41"/>
      <c r="K118" s="36"/>
      <c r="L118" s="41"/>
      <c r="M118" s="41"/>
      <c r="N118" s="41"/>
      <c r="O118" s="41"/>
      <c r="P118" s="41"/>
      <c r="Q118" s="219"/>
      <c r="R118" s="42"/>
      <c r="S118" s="43"/>
      <c r="T118" s="42"/>
      <c r="U118" s="43"/>
    </row>
    <row r="119" spans="2:21" x14ac:dyDescent="0.35">
      <c r="B119" s="36"/>
      <c r="C119" s="41"/>
      <c r="D119" s="41"/>
      <c r="E119" s="41"/>
      <c r="F119" s="41"/>
      <c r="G119" s="41"/>
      <c r="H119" s="41"/>
      <c r="I119" s="41"/>
      <c r="J119" s="41"/>
      <c r="K119" s="36"/>
      <c r="L119" s="41"/>
      <c r="M119" s="41"/>
      <c r="N119" s="41"/>
      <c r="O119" s="41"/>
      <c r="P119" s="41"/>
      <c r="Q119" s="219"/>
      <c r="R119" s="42"/>
      <c r="S119" s="43"/>
      <c r="T119" s="42"/>
      <c r="U119" s="43"/>
    </row>
    <row r="120" spans="2:21" x14ac:dyDescent="0.35">
      <c r="B120" s="36"/>
      <c r="C120" s="41"/>
      <c r="D120" s="41"/>
      <c r="E120" s="41"/>
      <c r="F120" s="41"/>
      <c r="G120" s="41"/>
      <c r="H120" s="41"/>
      <c r="I120" s="41"/>
      <c r="J120" s="41"/>
      <c r="K120" s="36"/>
      <c r="L120" s="41"/>
      <c r="M120" s="41"/>
      <c r="N120" s="41"/>
      <c r="O120" s="41"/>
      <c r="P120" s="41"/>
      <c r="Q120" s="219"/>
      <c r="R120" s="42"/>
      <c r="S120" s="43"/>
      <c r="T120" s="42"/>
      <c r="U120" s="43"/>
    </row>
    <row r="121" spans="2:21" x14ac:dyDescent="0.35">
      <c r="B121" s="36"/>
      <c r="C121" s="41"/>
      <c r="D121" s="41"/>
      <c r="E121" s="41"/>
      <c r="F121" s="41"/>
      <c r="G121" s="41"/>
      <c r="H121" s="41"/>
      <c r="I121" s="41"/>
      <c r="J121" s="41"/>
      <c r="K121" s="36"/>
      <c r="L121" s="41"/>
      <c r="M121" s="41"/>
      <c r="N121" s="41"/>
      <c r="O121" s="41"/>
      <c r="P121" s="41"/>
      <c r="Q121" s="219"/>
      <c r="R121" s="42"/>
      <c r="S121" s="43"/>
      <c r="T121" s="42"/>
      <c r="U121" s="43"/>
    </row>
    <row r="122" spans="2:21" x14ac:dyDescent="0.35">
      <c r="B122" s="36"/>
      <c r="C122" s="41"/>
      <c r="D122" s="41"/>
      <c r="E122" s="41"/>
      <c r="F122" s="41"/>
      <c r="G122" s="41"/>
      <c r="H122" s="41"/>
      <c r="I122" s="41"/>
      <c r="J122" s="41"/>
      <c r="K122" s="36"/>
      <c r="L122" s="41"/>
      <c r="M122" s="41"/>
      <c r="N122" s="41"/>
      <c r="O122" s="41"/>
      <c r="P122" s="41"/>
      <c r="Q122" s="219"/>
      <c r="R122" s="42"/>
      <c r="S122" s="43"/>
      <c r="T122" s="42"/>
      <c r="U122" s="43"/>
    </row>
    <row r="123" spans="2:21" x14ac:dyDescent="0.35">
      <c r="B123" s="36"/>
      <c r="C123" s="41"/>
      <c r="D123" s="41"/>
      <c r="E123" s="41"/>
      <c r="F123" s="41"/>
      <c r="G123" s="41"/>
      <c r="H123" s="41"/>
      <c r="I123" s="41"/>
      <c r="J123" s="41"/>
      <c r="K123" s="36"/>
      <c r="L123" s="41"/>
      <c r="M123" s="41"/>
      <c r="N123" s="41"/>
      <c r="O123" s="41"/>
      <c r="P123" s="41"/>
      <c r="Q123" s="219"/>
      <c r="R123" s="42"/>
      <c r="S123" s="43"/>
      <c r="T123" s="42"/>
      <c r="U123" s="43"/>
    </row>
    <row r="124" spans="2:21" x14ac:dyDescent="0.35">
      <c r="B124" s="36"/>
      <c r="C124" s="41"/>
      <c r="D124" s="41"/>
      <c r="E124" s="41"/>
      <c r="F124" s="41"/>
      <c r="G124" s="41"/>
      <c r="H124" s="41"/>
      <c r="I124" s="41"/>
      <c r="J124" s="41"/>
      <c r="K124" s="36"/>
      <c r="L124" s="41"/>
      <c r="M124" s="41"/>
      <c r="N124" s="41"/>
      <c r="O124" s="41"/>
      <c r="P124" s="41"/>
      <c r="Q124" s="219"/>
      <c r="R124" s="42"/>
      <c r="S124" s="43"/>
      <c r="T124" s="42"/>
      <c r="U124" s="43"/>
    </row>
    <row r="125" spans="2:21" x14ac:dyDescent="0.35">
      <c r="B125" s="36"/>
      <c r="C125" s="41"/>
      <c r="D125" s="41"/>
      <c r="E125" s="41"/>
      <c r="F125" s="41"/>
      <c r="G125" s="41"/>
      <c r="H125" s="41"/>
      <c r="I125" s="41"/>
      <c r="J125" s="41"/>
      <c r="K125" s="36"/>
      <c r="L125" s="41"/>
      <c r="M125" s="41"/>
      <c r="N125" s="41"/>
      <c r="O125" s="41"/>
      <c r="P125" s="41"/>
      <c r="Q125" s="219"/>
      <c r="R125" s="42"/>
      <c r="S125" s="43"/>
      <c r="T125" s="42"/>
      <c r="U125" s="43"/>
    </row>
    <row r="126" spans="2:21" x14ac:dyDescent="0.35">
      <c r="B126" s="36"/>
      <c r="C126" s="41"/>
      <c r="D126" s="41"/>
      <c r="E126" s="41"/>
      <c r="F126" s="41"/>
      <c r="G126" s="41"/>
      <c r="H126" s="41"/>
      <c r="I126" s="41"/>
      <c r="J126" s="41"/>
      <c r="K126" s="36"/>
      <c r="L126" s="41"/>
      <c r="M126" s="41"/>
      <c r="N126" s="41"/>
      <c r="O126" s="41"/>
      <c r="P126" s="41"/>
      <c r="Q126" s="219"/>
      <c r="R126" s="42"/>
      <c r="S126" s="43"/>
      <c r="T126" s="42"/>
      <c r="U126" s="43"/>
    </row>
    <row r="127" spans="2:21" x14ac:dyDescent="0.35">
      <c r="B127" s="36"/>
      <c r="C127" s="41"/>
      <c r="D127" s="41"/>
      <c r="E127" s="41"/>
      <c r="F127" s="41"/>
      <c r="G127" s="41"/>
      <c r="H127" s="41"/>
      <c r="I127" s="41"/>
      <c r="J127" s="41"/>
      <c r="K127" s="36"/>
      <c r="L127" s="41"/>
      <c r="M127" s="41"/>
      <c r="N127" s="41"/>
      <c r="O127" s="41"/>
      <c r="P127" s="41"/>
      <c r="Q127" s="219"/>
      <c r="R127" s="42"/>
      <c r="S127" s="43"/>
      <c r="T127" s="42"/>
      <c r="U127" s="43"/>
    </row>
    <row r="128" spans="2:21" x14ac:dyDescent="0.35">
      <c r="B128" s="36"/>
      <c r="C128" s="41"/>
      <c r="D128" s="41"/>
      <c r="E128" s="41"/>
      <c r="F128" s="41"/>
      <c r="G128" s="41"/>
      <c r="H128" s="41"/>
      <c r="I128" s="41"/>
      <c r="J128" s="41"/>
      <c r="K128" s="36"/>
      <c r="L128" s="41"/>
      <c r="M128" s="41"/>
      <c r="N128" s="41"/>
      <c r="O128" s="41"/>
      <c r="P128" s="41"/>
      <c r="Q128" s="219"/>
      <c r="R128" s="42"/>
      <c r="S128" s="43"/>
      <c r="T128" s="42"/>
      <c r="U128" s="43"/>
    </row>
    <row r="129" spans="2:21" x14ac:dyDescent="0.35">
      <c r="B129" s="36"/>
      <c r="C129" s="41"/>
      <c r="D129" s="41"/>
      <c r="E129" s="41"/>
      <c r="F129" s="41"/>
      <c r="G129" s="41"/>
      <c r="H129" s="41"/>
      <c r="I129" s="41"/>
      <c r="J129" s="41"/>
      <c r="K129" s="36"/>
      <c r="L129" s="41"/>
      <c r="M129" s="41"/>
      <c r="N129" s="41"/>
      <c r="O129" s="41"/>
      <c r="P129" s="41"/>
      <c r="Q129" s="219"/>
      <c r="R129" s="42"/>
      <c r="S129" s="43"/>
      <c r="T129" s="42"/>
      <c r="U129" s="43"/>
    </row>
    <row r="130" spans="2:21" x14ac:dyDescent="0.35">
      <c r="B130" s="36"/>
      <c r="C130" s="41"/>
      <c r="D130" s="41"/>
      <c r="E130" s="41"/>
      <c r="F130" s="41"/>
      <c r="G130" s="41"/>
      <c r="H130" s="41"/>
      <c r="I130" s="41"/>
      <c r="J130" s="41"/>
      <c r="K130" s="36"/>
      <c r="L130" s="41"/>
      <c r="M130" s="41"/>
      <c r="N130" s="41"/>
      <c r="O130" s="41"/>
      <c r="P130" s="41"/>
      <c r="Q130" s="219"/>
      <c r="R130" s="42"/>
      <c r="S130" s="43"/>
      <c r="T130" s="42"/>
      <c r="U130" s="43"/>
    </row>
    <row r="131" spans="2:21" x14ac:dyDescent="0.35">
      <c r="B131" s="36"/>
      <c r="C131" s="41"/>
      <c r="D131" s="41"/>
      <c r="E131" s="41"/>
      <c r="F131" s="41"/>
      <c r="G131" s="41"/>
      <c r="H131" s="41"/>
      <c r="I131" s="41"/>
      <c r="J131" s="41"/>
      <c r="K131" s="36"/>
      <c r="L131" s="41"/>
      <c r="M131" s="41"/>
      <c r="N131" s="41"/>
      <c r="O131" s="41"/>
      <c r="P131" s="41"/>
      <c r="Q131" s="219"/>
      <c r="R131" s="42"/>
      <c r="S131" s="43"/>
      <c r="T131" s="42"/>
      <c r="U131" s="43"/>
    </row>
    <row r="132" spans="2:21" x14ac:dyDescent="0.35">
      <c r="B132" s="36"/>
      <c r="C132" s="41"/>
      <c r="D132" s="41"/>
      <c r="E132" s="41"/>
      <c r="F132" s="41"/>
      <c r="G132" s="41"/>
      <c r="H132" s="41"/>
      <c r="I132" s="41"/>
      <c r="J132" s="41"/>
      <c r="K132" s="36"/>
      <c r="L132" s="41"/>
      <c r="M132" s="41"/>
      <c r="N132" s="41"/>
      <c r="O132" s="41"/>
      <c r="P132" s="41"/>
      <c r="Q132" s="219"/>
      <c r="R132" s="42"/>
      <c r="S132" s="43"/>
      <c r="T132" s="42"/>
      <c r="U132" s="43"/>
    </row>
    <row r="133" spans="2:21" x14ac:dyDescent="0.35">
      <c r="B133" s="36"/>
      <c r="C133" s="41"/>
      <c r="D133" s="41"/>
      <c r="E133" s="41"/>
      <c r="F133" s="41"/>
      <c r="G133" s="41"/>
      <c r="H133" s="41"/>
      <c r="I133" s="41"/>
      <c r="J133" s="41"/>
      <c r="K133" s="36"/>
      <c r="L133" s="41"/>
      <c r="M133" s="41"/>
      <c r="N133" s="41"/>
      <c r="O133" s="41"/>
      <c r="P133" s="41"/>
      <c r="Q133" s="219"/>
      <c r="R133" s="42"/>
      <c r="S133" s="43"/>
      <c r="T133" s="42"/>
      <c r="U133" s="43"/>
    </row>
    <row r="134" spans="2:21" x14ac:dyDescent="0.35">
      <c r="B134" s="36"/>
      <c r="C134" s="41"/>
      <c r="D134" s="41"/>
      <c r="E134" s="41"/>
      <c r="F134" s="41"/>
      <c r="G134" s="41"/>
      <c r="H134" s="41"/>
      <c r="I134" s="41"/>
      <c r="J134" s="41"/>
      <c r="K134" s="36"/>
      <c r="L134" s="41"/>
      <c r="M134" s="41"/>
      <c r="N134" s="41"/>
      <c r="O134" s="41"/>
      <c r="P134" s="41"/>
      <c r="Q134" s="219"/>
      <c r="R134" s="42"/>
      <c r="S134" s="43"/>
      <c r="T134" s="42"/>
      <c r="U134" s="43"/>
    </row>
    <row r="135" spans="2:21" x14ac:dyDescent="0.35">
      <c r="B135" s="36"/>
      <c r="C135" s="41"/>
      <c r="D135" s="41"/>
      <c r="E135" s="41"/>
      <c r="F135" s="41"/>
      <c r="G135" s="41"/>
      <c r="H135" s="41"/>
      <c r="I135" s="41"/>
      <c r="J135" s="41"/>
      <c r="K135" s="36"/>
      <c r="L135" s="41"/>
      <c r="M135" s="41"/>
      <c r="N135" s="41"/>
      <c r="O135" s="41"/>
      <c r="P135" s="41"/>
      <c r="Q135" s="219"/>
      <c r="R135" s="42"/>
      <c r="S135" s="43"/>
      <c r="T135" s="42"/>
      <c r="U135" s="43"/>
    </row>
    <row r="136" spans="2:21" x14ac:dyDescent="0.35">
      <c r="B136" s="36"/>
      <c r="C136" s="41"/>
      <c r="D136" s="41"/>
      <c r="E136" s="41"/>
      <c r="F136" s="41"/>
      <c r="G136" s="41"/>
      <c r="H136" s="41"/>
      <c r="I136" s="41"/>
      <c r="J136" s="41"/>
      <c r="K136" s="36"/>
      <c r="L136" s="41"/>
      <c r="M136" s="41"/>
      <c r="N136" s="41"/>
      <c r="O136" s="41"/>
      <c r="P136" s="41"/>
      <c r="Q136" s="219"/>
      <c r="R136" s="42"/>
      <c r="S136" s="43"/>
      <c r="T136" s="42"/>
      <c r="U136" s="43"/>
    </row>
    <row r="137" spans="2:21" x14ac:dyDescent="0.35">
      <c r="B137" s="36"/>
      <c r="C137" s="41"/>
      <c r="D137" s="41"/>
      <c r="E137" s="41"/>
      <c r="F137" s="41"/>
      <c r="G137" s="41"/>
      <c r="H137" s="41"/>
      <c r="I137" s="41"/>
      <c r="J137" s="41"/>
      <c r="K137" s="36"/>
      <c r="L137" s="41"/>
      <c r="M137" s="41"/>
      <c r="N137" s="41"/>
      <c r="O137" s="41"/>
      <c r="P137" s="41"/>
      <c r="Q137" s="219"/>
      <c r="R137" s="42"/>
      <c r="S137" s="43"/>
      <c r="T137" s="42"/>
      <c r="U137" s="43"/>
    </row>
    <row r="138" spans="2:21" x14ac:dyDescent="0.35">
      <c r="B138" s="36"/>
      <c r="C138" s="41"/>
      <c r="D138" s="41"/>
      <c r="E138" s="41"/>
      <c r="F138" s="41"/>
      <c r="G138" s="41"/>
      <c r="H138" s="41"/>
      <c r="I138" s="41"/>
      <c r="J138" s="41"/>
      <c r="K138" s="36"/>
      <c r="L138" s="41"/>
      <c r="M138" s="41"/>
      <c r="N138" s="41"/>
      <c r="O138" s="41"/>
      <c r="P138" s="41"/>
      <c r="Q138" s="219"/>
      <c r="R138" s="42"/>
      <c r="S138" s="43"/>
      <c r="T138" s="42"/>
      <c r="U138" s="43"/>
    </row>
    <row r="139" spans="2:21" x14ac:dyDescent="0.35">
      <c r="B139" s="36"/>
      <c r="C139" s="41"/>
      <c r="D139" s="41"/>
      <c r="E139" s="41"/>
      <c r="F139" s="41"/>
      <c r="G139" s="41"/>
      <c r="H139" s="41"/>
      <c r="I139" s="41"/>
      <c r="J139" s="41"/>
      <c r="K139" s="36"/>
      <c r="L139" s="41"/>
      <c r="M139" s="41"/>
      <c r="N139" s="41"/>
      <c r="O139" s="41"/>
      <c r="P139" s="41"/>
      <c r="Q139" s="219"/>
      <c r="R139" s="42"/>
      <c r="S139" s="43"/>
      <c r="T139" s="42"/>
      <c r="U139" s="43"/>
    </row>
    <row r="140" spans="2:21" x14ac:dyDescent="0.35">
      <c r="B140" s="36"/>
      <c r="C140" s="41"/>
      <c r="D140" s="41"/>
      <c r="E140" s="41"/>
      <c r="F140" s="41"/>
      <c r="G140" s="41"/>
      <c r="H140" s="41"/>
      <c r="I140" s="41"/>
      <c r="J140" s="41"/>
      <c r="K140" s="36"/>
      <c r="L140" s="41"/>
      <c r="M140" s="41"/>
      <c r="N140" s="41"/>
      <c r="O140" s="41"/>
      <c r="P140" s="41"/>
      <c r="Q140" s="219"/>
      <c r="R140" s="42"/>
      <c r="S140" s="43"/>
      <c r="T140" s="42"/>
      <c r="U140" s="43"/>
    </row>
    <row r="141" spans="2:21" x14ac:dyDescent="0.35">
      <c r="B141" s="36"/>
      <c r="C141" s="41"/>
      <c r="D141" s="41"/>
      <c r="E141" s="41"/>
      <c r="F141" s="41"/>
      <c r="G141" s="41"/>
      <c r="H141" s="41"/>
      <c r="I141" s="41"/>
      <c r="J141" s="41"/>
      <c r="K141" s="36"/>
      <c r="L141" s="41"/>
      <c r="M141" s="41"/>
      <c r="N141" s="41"/>
      <c r="O141" s="41"/>
      <c r="P141" s="41"/>
      <c r="Q141" s="219"/>
      <c r="R141" s="42"/>
      <c r="S141" s="43"/>
      <c r="T141" s="42"/>
      <c r="U141" s="43"/>
    </row>
    <row r="142" spans="2:21" x14ac:dyDescent="0.35">
      <c r="B142" s="36"/>
      <c r="C142" s="41"/>
      <c r="D142" s="41"/>
      <c r="E142" s="41"/>
      <c r="F142" s="41"/>
      <c r="G142" s="41"/>
      <c r="H142" s="41"/>
      <c r="I142" s="41"/>
      <c r="J142" s="41"/>
      <c r="K142" s="36"/>
      <c r="L142" s="41"/>
      <c r="M142" s="41"/>
      <c r="N142" s="41"/>
      <c r="O142" s="41"/>
      <c r="P142" s="41"/>
      <c r="Q142" s="219"/>
      <c r="R142" s="42"/>
      <c r="S142" s="43"/>
      <c r="T142" s="42"/>
      <c r="U142" s="43"/>
    </row>
    <row r="143" spans="2:21" x14ac:dyDescent="0.35">
      <c r="B143" s="36"/>
      <c r="C143" s="41"/>
      <c r="D143" s="41"/>
      <c r="E143" s="41"/>
      <c r="F143" s="41"/>
      <c r="G143" s="41"/>
      <c r="H143" s="41"/>
      <c r="I143" s="41"/>
      <c r="J143" s="41"/>
      <c r="K143" s="36"/>
      <c r="L143" s="41"/>
      <c r="M143" s="41"/>
      <c r="N143" s="41"/>
      <c r="O143" s="41"/>
      <c r="P143" s="41"/>
      <c r="Q143" s="219"/>
      <c r="R143" s="42"/>
      <c r="S143" s="43"/>
      <c r="T143" s="42"/>
      <c r="U143" s="43"/>
    </row>
    <row r="144" spans="2:21" x14ac:dyDescent="0.35">
      <c r="B144" s="36"/>
      <c r="C144" s="41"/>
      <c r="D144" s="41"/>
      <c r="E144" s="41"/>
      <c r="F144" s="41"/>
      <c r="G144" s="41"/>
      <c r="H144" s="41"/>
      <c r="I144" s="41"/>
      <c r="J144" s="41"/>
      <c r="K144" s="36"/>
      <c r="L144" s="41"/>
      <c r="M144" s="41"/>
      <c r="N144" s="41"/>
      <c r="O144" s="41"/>
      <c r="P144" s="41"/>
      <c r="Q144" s="219"/>
      <c r="R144" s="42"/>
      <c r="S144" s="43"/>
      <c r="T144" s="42"/>
      <c r="U144" s="43"/>
    </row>
    <row r="145" spans="2:21" x14ac:dyDescent="0.35">
      <c r="B145" s="36"/>
      <c r="C145" s="41"/>
      <c r="D145" s="41"/>
      <c r="E145" s="41"/>
      <c r="F145" s="41"/>
      <c r="G145" s="41"/>
      <c r="H145" s="41"/>
      <c r="I145" s="41"/>
      <c r="J145" s="41"/>
      <c r="K145" s="36"/>
      <c r="L145" s="41"/>
      <c r="M145" s="41"/>
      <c r="N145" s="41"/>
      <c r="O145" s="41"/>
      <c r="P145" s="41"/>
      <c r="Q145" s="219"/>
      <c r="R145" s="42"/>
      <c r="S145" s="43"/>
      <c r="T145" s="42"/>
      <c r="U145" s="43"/>
    </row>
    <row r="146" spans="2:21" x14ac:dyDescent="0.35">
      <c r="B146" s="36"/>
      <c r="C146" s="41"/>
      <c r="D146" s="41"/>
      <c r="E146" s="41"/>
      <c r="F146" s="41"/>
      <c r="G146" s="41"/>
      <c r="H146" s="41"/>
      <c r="I146" s="41"/>
      <c r="J146" s="41"/>
      <c r="K146" s="36"/>
      <c r="L146" s="41"/>
      <c r="M146" s="41"/>
      <c r="N146" s="41"/>
      <c r="O146" s="41"/>
      <c r="P146" s="41"/>
      <c r="Q146" s="219"/>
      <c r="R146" s="42"/>
      <c r="S146" s="43"/>
      <c r="T146" s="42"/>
      <c r="U146" s="43"/>
    </row>
    <row r="147" spans="2:21" x14ac:dyDescent="0.35">
      <c r="B147" s="36"/>
      <c r="C147" s="41"/>
      <c r="D147" s="41"/>
      <c r="E147" s="41"/>
      <c r="F147" s="41"/>
      <c r="G147" s="41"/>
      <c r="H147" s="41"/>
      <c r="I147" s="41"/>
      <c r="J147" s="41"/>
      <c r="K147" s="36"/>
      <c r="L147" s="41"/>
      <c r="M147" s="41"/>
      <c r="N147" s="41"/>
      <c r="O147" s="41"/>
      <c r="P147" s="41"/>
      <c r="Q147" s="219"/>
      <c r="R147" s="42"/>
      <c r="S147" s="43"/>
      <c r="T147" s="42"/>
      <c r="U147" s="43"/>
    </row>
    <row r="148" spans="2:21" x14ac:dyDescent="0.35">
      <c r="B148" s="36"/>
      <c r="C148" s="41"/>
      <c r="D148" s="41"/>
      <c r="E148" s="41"/>
      <c r="F148" s="41"/>
      <c r="G148" s="41"/>
      <c r="H148" s="41"/>
      <c r="I148" s="41"/>
      <c r="J148" s="41"/>
      <c r="K148" s="36"/>
      <c r="L148" s="41"/>
      <c r="M148" s="41"/>
      <c r="N148" s="41"/>
      <c r="O148" s="41"/>
      <c r="P148" s="41"/>
      <c r="Q148" s="219"/>
      <c r="R148" s="42"/>
      <c r="S148" s="43"/>
      <c r="T148" s="42"/>
      <c r="U148" s="43"/>
    </row>
    <row r="149" spans="2:21" x14ac:dyDescent="0.35">
      <c r="B149" s="36"/>
      <c r="C149" s="41"/>
      <c r="D149" s="41"/>
      <c r="E149" s="41"/>
      <c r="F149" s="41"/>
      <c r="G149" s="41"/>
      <c r="H149" s="41"/>
      <c r="I149" s="41"/>
      <c r="J149" s="41"/>
      <c r="K149" s="36"/>
      <c r="L149" s="41"/>
      <c r="M149" s="41"/>
      <c r="N149" s="41"/>
      <c r="O149" s="41"/>
      <c r="P149" s="41"/>
      <c r="Q149" s="219"/>
      <c r="R149" s="42"/>
      <c r="S149" s="43"/>
      <c r="T149" s="42"/>
      <c r="U149" s="43"/>
    </row>
    <row r="150" spans="2:21" x14ac:dyDescent="0.35">
      <c r="B150" s="36"/>
      <c r="C150" s="41"/>
      <c r="D150" s="41"/>
      <c r="E150" s="41"/>
      <c r="F150" s="41"/>
      <c r="G150" s="41"/>
      <c r="H150" s="41"/>
      <c r="I150" s="41"/>
      <c r="J150" s="41"/>
      <c r="K150" s="36"/>
      <c r="L150" s="41"/>
      <c r="M150" s="41"/>
      <c r="N150" s="41"/>
      <c r="O150" s="41"/>
      <c r="P150" s="41"/>
      <c r="Q150" s="219"/>
      <c r="R150" s="42"/>
      <c r="S150" s="43"/>
      <c r="T150" s="42"/>
      <c r="U150" s="43"/>
    </row>
    <row r="151" spans="2:21" x14ac:dyDescent="0.35">
      <c r="B151" s="36"/>
      <c r="C151" s="41"/>
      <c r="D151" s="41"/>
      <c r="E151" s="41"/>
      <c r="F151" s="41"/>
      <c r="G151" s="41"/>
      <c r="H151" s="41"/>
      <c r="I151" s="41"/>
      <c r="J151" s="41"/>
      <c r="K151" s="36"/>
      <c r="L151" s="41"/>
      <c r="M151" s="41"/>
      <c r="N151" s="41"/>
      <c r="O151" s="41"/>
      <c r="P151" s="41"/>
      <c r="Q151" s="219"/>
      <c r="R151" s="42"/>
      <c r="S151" s="43"/>
      <c r="T151" s="42"/>
      <c r="U151" s="43"/>
    </row>
    <row r="152" spans="2:21" x14ac:dyDescent="0.35">
      <c r="B152" s="36"/>
      <c r="C152" s="41"/>
      <c r="D152" s="41"/>
      <c r="E152" s="41"/>
      <c r="F152" s="41"/>
      <c r="G152" s="41"/>
      <c r="H152" s="41"/>
      <c r="I152" s="41"/>
      <c r="J152" s="41"/>
      <c r="K152" s="36"/>
      <c r="L152" s="41"/>
      <c r="M152" s="41"/>
      <c r="N152" s="41"/>
      <c r="O152" s="41"/>
      <c r="P152" s="41"/>
      <c r="Q152" s="219"/>
      <c r="R152" s="42"/>
      <c r="S152" s="43"/>
      <c r="T152" s="42"/>
      <c r="U152" s="43"/>
    </row>
    <row r="153" spans="2:21" x14ac:dyDescent="0.35">
      <c r="B153" s="36"/>
      <c r="C153" s="41"/>
      <c r="D153" s="41"/>
      <c r="E153" s="41"/>
      <c r="F153" s="41"/>
      <c r="G153" s="41"/>
      <c r="H153" s="41"/>
      <c r="I153" s="41"/>
      <c r="J153" s="41"/>
      <c r="K153" s="36"/>
      <c r="L153" s="41"/>
      <c r="M153" s="41"/>
      <c r="N153" s="41"/>
      <c r="O153" s="41"/>
      <c r="P153" s="41"/>
      <c r="Q153" s="219"/>
      <c r="R153" s="42"/>
      <c r="S153" s="43"/>
      <c r="T153" s="42"/>
      <c r="U153" s="43"/>
    </row>
    <row r="154" spans="2:21" x14ac:dyDescent="0.35">
      <c r="B154" s="36"/>
      <c r="C154" s="41"/>
      <c r="D154" s="41"/>
      <c r="E154" s="41"/>
      <c r="F154" s="41"/>
      <c r="G154" s="41"/>
      <c r="H154" s="41"/>
      <c r="I154" s="41"/>
      <c r="J154" s="41"/>
      <c r="K154" s="36"/>
      <c r="L154" s="41"/>
      <c r="M154" s="41"/>
      <c r="N154" s="41"/>
      <c r="O154" s="41"/>
      <c r="P154" s="41"/>
      <c r="Q154" s="219"/>
      <c r="R154" s="42"/>
      <c r="S154" s="43"/>
      <c r="T154" s="42"/>
      <c r="U154" s="43"/>
    </row>
    <row r="155" spans="2:21" x14ac:dyDescent="0.35">
      <c r="B155" s="36"/>
      <c r="C155" s="41"/>
      <c r="D155" s="41"/>
      <c r="E155" s="41"/>
      <c r="F155" s="41"/>
      <c r="G155" s="41"/>
      <c r="H155" s="41"/>
      <c r="I155" s="41"/>
      <c r="J155" s="41"/>
      <c r="K155" s="36"/>
      <c r="L155" s="41"/>
      <c r="M155" s="41"/>
      <c r="N155" s="41"/>
      <c r="O155" s="41"/>
      <c r="P155" s="41"/>
      <c r="Q155" s="219"/>
      <c r="R155" s="42"/>
      <c r="S155" s="43"/>
      <c r="T155" s="42"/>
      <c r="U155" s="43"/>
    </row>
    <row r="156" spans="2:21" x14ac:dyDescent="0.35">
      <c r="B156" s="36"/>
      <c r="C156" s="41"/>
      <c r="D156" s="41"/>
      <c r="E156" s="41"/>
      <c r="F156" s="41"/>
      <c r="G156" s="41"/>
      <c r="H156" s="41"/>
      <c r="I156" s="41"/>
      <c r="J156" s="41"/>
      <c r="K156" s="36"/>
      <c r="L156" s="41"/>
      <c r="M156" s="41"/>
      <c r="N156" s="41"/>
      <c r="O156" s="41"/>
      <c r="P156" s="41"/>
      <c r="Q156" s="219"/>
      <c r="R156" s="42"/>
      <c r="S156" s="43"/>
      <c r="T156" s="42"/>
      <c r="U156" s="43"/>
    </row>
    <row r="157" spans="2:21" x14ac:dyDescent="0.35">
      <c r="B157" s="36"/>
      <c r="C157" s="41"/>
      <c r="D157" s="41"/>
      <c r="E157" s="41"/>
      <c r="F157" s="41"/>
      <c r="G157" s="41"/>
      <c r="H157" s="41"/>
      <c r="I157" s="41"/>
      <c r="J157" s="41"/>
      <c r="K157" s="36"/>
      <c r="L157" s="41"/>
      <c r="M157" s="41"/>
      <c r="N157" s="41"/>
      <c r="O157" s="41"/>
      <c r="P157" s="41"/>
      <c r="Q157" s="219"/>
      <c r="R157" s="42"/>
      <c r="S157" s="43"/>
      <c r="T157" s="42"/>
      <c r="U157" s="43"/>
    </row>
    <row r="158" spans="2:21" x14ac:dyDescent="0.35">
      <c r="B158" s="36"/>
      <c r="C158" s="41"/>
      <c r="D158" s="41"/>
      <c r="E158" s="41"/>
      <c r="F158" s="41"/>
      <c r="G158" s="41"/>
      <c r="H158" s="41"/>
      <c r="I158" s="41"/>
      <c r="J158" s="41"/>
      <c r="K158" s="36"/>
      <c r="L158" s="41"/>
      <c r="M158" s="41"/>
      <c r="N158" s="41"/>
      <c r="O158" s="41"/>
      <c r="P158" s="41"/>
      <c r="Q158" s="219"/>
      <c r="R158" s="42"/>
      <c r="S158" s="43"/>
      <c r="T158" s="42"/>
      <c r="U158" s="43"/>
    </row>
    <row r="159" spans="2:21" x14ac:dyDescent="0.35">
      <c r="B159" s="36"/>
      <c r="C159" s="41"/>
      <c r="D159" s="41"/>
      <c r="E159" s="41"/>
      <c r="F159" s="41"/>
      <c r="G159" s="41"/>
      <c r="H159" s="41"/>
      <c r="I159" s="41"/>
      <c r="J159" s="41"/>
      <c r="K159" s="36"/>
      <c r="L159" s="41"/>
      <c r="M159" s="41"/>
      <c r="N159" s="41"/>
      <c r="O159" s="41"/>
      <c r="P159" s="41"/>
      <c r="Q159" s="219"/>
      <c r="R159" s="42"/>
      <c r="S159" s="43"/>
      <c r="T159" s="42"/>
      <c r="U159" s="43"/>
    </row>
    <row r="160" spans="2:21" x14ac:dyDescent="0.35">
      <c r="B160" s="36"/>
      <c r="C160" s="41"/>
      <c r="D160" s="41"/>
      <c r="E160" s="41"/>
      <c r="F160" s="41"/>
      <c r="G160" s="41"/>
      <c r="H160" s="41"/>
      <c r="I160" s="41"/>
      <c r="J160" s="41"/>
      <c r="K160" s="36"/>
      <c r="L160" s="41"/>
      <c r="M160" s="41"/>
      <c r="N160" s="41"/>
      <c r="O160" s="41"/>
      <c r="P160" s="41"/>
      <c r="Q160" s="219"/>
      <c r="R160" s="42"/>
      <c r="S160" s="43"/>
      <c r="T160" s="42"/>
      <c r="U160" s="43"/>
    </row>
    <row r="161" spans="2:21" x14ac:dyDescent="0.35">
      <c r="B161" s="36"/>
      <c r="C161" s="41"/>
      <c r="D161" s="41"/>
      <c r="E161" s="41"/>
      <c r="F161" s="41"/>
      <c r="G161" s="41"/>
      <c r="H161" s="41"/>
      <c r="I161" s="41"/>
      <c r="J161" s="41"/>
      <c r="K161" s="36"/>
      <c r="L161" s="41"/>
      <c r="M161" s="41"/>
      <c r="N161" s="41"/>
      <c r="O161" s="41"/>
      <c r="P161" s="41"/>
      <c r="Q161" s="219"/>
      <c r="R161" s="42"/>
      <c r="S161" s="43"/>
      <c r="T161" s="42"/>
      <c r="U161" s="43"/>
    </row>
    <row r="162" spans="2:21" x14ac:dyDescent="0.35">
      <c r="B162" s="36"/>
      <c r="C162" s="41"/>
      <c r="D162" s="41"/>
      <c r="E162" s="41"/>
      <c r="F162" s="41"/>
      <c r="G162" s="41"/>
      <c r="H162" s="41"/>
      <c r="I162" s="41"/>
      <c r="J162" s="41"/>
      <c r="K162" s="36"/>
      <c r="L162" s="41"/>
      <c r="M162" s="41"/>
      <c r="N162" s="41"/>
      <c r="O162" s="41"/>
      <c r="P162" s="41"/>
      <c r="Q162" s="219"/>
      <c r="R162" s="42"/>
      <c r="S162" s="43"/>
      <c r="T162" s="42"/>
      <c r="U162" s="43"/>
    </row>
    <row r="163" spans="2:21" x14ac:dyDescent="0.35">
      <c r="B163" s="36"/>
      <c r="C163" s="41"/>
      <c r="D163" s="41"/>
      <c r="E163" s="41"/>
      <c r="F163" s="41"/>
      <c r="G163" s="41"/>
      <c r="H163" s="41"/>
      <c r="I163" s="41"/>
      <c r="J163" s="41"/>
      <c r="K163" s="36"/>
      <c r="L163" s="41"/>
      <c r="M163" s="41"/>
      <c r="N163" s="41"/>
      <c r="O163" s="41"/>
      <c r="P163" s="41"/>
      <c r="Q163" s="219"/>
      <c r="R163" s="42"/>
      <c r="S163" s="43"/>
      <c r="T163" s="42"/>
      <c r="U163" s="43"/>
    </row>
    <row r="164" spans="2:21" x14ac:dyDescent="0.35">
      <c r="B164" s="36"/>
      <c r="C164" s="41"/>
      <c r="D164" s="41"/>
      <c r="E164" s="41"/>
      <c r="F164" s="41"/>
      <c r="G164" s="41"/>
      <c r="H164" s="41"/>
      <c r="I164" s="41"/>
      <c r="J164" s="41"/>
      <c r="K164" s="36"/>
      <c r="L164" s="41"/>
      <c r="M164" s="41"/>
      <c r="N164" s="41"/>
      <c r="O164" s="41"/>
      <c r="P164" s="41"/>
      <c r="Q164" s="219"/>
      <c r="R164" s="42"/>
      <c r="S164" s="43"/>
      <c r="T164" s="42"/>
      <c r="U164" s="43"/>
    </row>
    <row r="165" spans="2:21" x14ac:dyDescent="0.35">
      <c r="B165" s="36"/>
      <c r="C165" s="41"/>
      <c r="D165" s="41"/>
      <c r="E165" s="41"/>
      <c r="F165" s="41"/>
      <c r="G165" s="41"/>
      <c r="H165" s="41"/>
      <c r="I165" s="41"/>
      <c r="J165" s="41"/>
      <c r="K165" s="36"/>
      <c r="L165" s="41"/>
      <c r="M165" s="41"/>
      <c r="N165" s="41"/>
      <c r="O165" s="41"/>
      <c r="P165" s="41"/>
      <c r="Q165" s="219"/>
      <c r="R165" s="42"/>
      <c r="S165" s="43"/>
      <c r="T165" s="42"/>
      <c r="U165" s="43"/>
    </row>
    <row r="166" spans="2:21" x14ac:dyDescent="0.35">
      <c r="B166" s="36"/>
      <c r="C166" s="41"/>
      <c r="D166" s="41"/>
      <c r="E166" s="41"/>
      <c r="F166" s="41"/>
      <c r="G166" s="41"/>
      <c r="H166" s="41"/>
      <c r="I166" s="41"/>
      <c r="J166" s="41"/>
      <c r="K166" s="36"/>
      <c r="L166" s="41"/>
      <c r="M166" s="41"/>
      <c r="N166" s="41"/>
      <c r="O166" s="41"/>
      <c r="P166" s="41"/>
      <c r="Q166" s="219"/>
      <c r="R166" s="42"/>
      <c r="S166" s="43"/>
      <c r="T166" s="42"/>
      <c r="U166" s="43"/>
    </row>
    <row r="167" spans="2:21" x14ac:dyDescent="0.35">
      <c r="B167" s="36"/>
      <c r="C167" s="41"/>
      <c r="D167" s="41"/>
      <c r="E167" s="41"/>
      <c r="F167" s="41"/>
      <c r="G167" s="41"/>
      <c r="H167" s="41"/>
      <c r="I167" s="41"/>
      <c r="J167" s="41"/>
      <c r="K167" s="36"/>
      <c r="L167" s="41"/>
      <c r="M167" s="41"/>
      <c r="N167" s="41"/>
      <c r="O167" s="41"/>
      <c r="P167" s="41"/>
      <c r="Q167" s="219"/>
      <c r="R167" s="42"/>
      <c r="S167" s="43"/>
      <c r="T167" s="42"/>
      <c r="U167" s="43"/>
    </row>
    <row r="168" spans="2:21" x14ac:dyDescent="0.35">
      <c r="B168" s="36"/>
      <c r="C168" s="41"/>
      <c r="D168" s="41"/>
      <c r="E168" s="41"/>
      <c r="F168" s="41"/>
      <c r="G168" s="41"/>
      <c r="H168" s="41"/>
      <c r="I168" s="41"/>
      <c r="J168" s="41"/>
      <c r="K168" s="36"/>
      <c r="L168" s="41"/>
      <c r="M168" s="41"/>
      <c r="N168" s="41"/>
      <c r="O168" s="41"/>
      <c r="P168" s="41"/>
      <c r="Q168" s="219"/>
      <c r="R168" s="42"/>
      <c r="S168" s="43"/>
      <c r="T168" s="42"/>
      <c r="U168" s="43"/>
    </row>
    <row r="169" spans="2:21" x14ac:dyDescent="0.35">
      <c r="B169" s="36"/>
      <c r="C169" s="41"/>
      <c r="D169" s="41"/>
      <c r="E169" s="41"/>
      <c r="F169" s="41"/>
      <c r="G169" s="41"/>
      <c r="H169" s="41"/>
      <c r="I169" s="41"/>
      <c r="J169" s="41"/>
      <c r="K169" s="36"/>
      <c r="L169" s="41"/>
      <c r="M169" s="41"/>
      <c r="N169" s="41"/>
      <c r="O169" s="41"/>
      <c r="P169" s="41"/>
      <c r="Q169" s="219"/>
      <c r="R169" s="42"/>
      <c r="S169" s="43"/>
      <c r="T169" s="42"/>
      <c r="U169" s="43"/>
    </row>
    <row r="170" spans="2:21" x14ac:dyDescent="0.35">
      <c r="B170" s="36"/>
      <c r="C170" s="41"/>
      <c r="D170" s="41"/>
      <c r="E170" s="41"/>
      <c r="F170" s="41"/>
      <c r="G170" s="41"/>
      <c r="H170" s="41"/>
      <c r="I170" s="41"/>
      <c r="J170" s="41"/>
      <c r="K170" s="36"/>
      <c r="L170" s="41"/>
      <c r="M170" s="41"/>
      <c r="N170" s="41"/>
      <c r="O170" s="41"/>
      <c r="P170" s="41"/>
      <c r="Q170" s="219"/>
      <c r="R170" s="42"/>
      <c r="S170" s="43"/>
      <c r="T170" s="42"/>
      <c r="U170" s="43"/>
    </row>
    <row r="171" spans="2:21" x14ac:dyDescent="0.35">
      <c r="B171" s="36"/>
      <c r="C171" s="41"/>
      <c r="D171" s="41"/>
      <c r="E171" s="41"/>
      <c r="F171" s="41"/>
      <c r="G171" s="41"/>
      <c r="H171" s="41"/>
      <c r="I171" s="41"/>
      <c r="J171" s="41"/>
      <c r="K171" s="36"/>
      <c r="L171" s="41"/>
      <c r="M171" s="41"/>
      <c r="N171" s="41"/>
      <c r="O171" s="41"/>
      <c r="P171" s="41"/>
      <c r="Q171" s="219"/>
      <c r="R171" s="42"/>
      <c r="S171" s="43"/>
      <c r="T171" s="42"/>
      <c r="U171" s="43"/>
    </row>
    <row r="172" spans="2:21" x14ac:dyDescent="0.35">
      <c r="B172" s="36"/>
      <c r="C172" s="41"/>
      <c r="D172" s="41"/>
      <c r="E172" s="41"/>
      <c r="F172" s="41"/>
      <c r="G172" s="41"/>
      <c r="H172" s="41"/>
      <c r="I172" s="41"/>
      <c r="J172" s="41"/>
      <c r="K172" s="36"/>
      <c r="L172" s="41"/>
      <c r="M172" s="41"/>
      <c r="N172" s="41"/>
      <c r="O172" s="41"/>
      <c r="P172" s="41"/>
      <c r="Q172" s="219"/>
      <c r="R172" s="42"/>
      <c r="S172" s="43"/>
      <c r="T172" s="42"/>
      <c r="U172" s="43"/>
    </row>
    <row r="173" spans="2:21" x14ac:dyDescent="0.35">
      <c r="B173" s="36"/>
      <c r="C173" s="41"/>
      <c r="D173" s="41"/>
      <c r="E173" s="41"/>
      <c r="F173" s="41"/>
      <c r="G173" s="41"/>
      <c r="H173" s="41"/>
      <c r="I173" s="41"/>
      <c r="J173" s="41"/>
      <c r="K173" s="36"/>
      <c r="L173" s="41"/>
      <c r="M173" s="41"/>
      <c r="N173" s="41"/>
      <c r="O173" s="41"/>
      <c r="P173" s="41"/>
      <c r="Q173" s="219"/>
      <c r="R173" s="42"/>
      <c r="S173" s="43"/>
      <c r="T173" s="42"/>
      <c r="U173" s="43"/>
    </row>
    <row r="174" spans="2:21" x14ac:dyDescent="0.35">
      <c r="B174" s="36"/>
      <c r="C174" s="41"/>
      <c r="D174" s="41"/>
      <c r="E174" s="41"/>
      <c r="F174" s="41"/>
      <c r="G174" s="41"/>
      <c r="H174" s="41"/>
      <c r="I174" s="41"/>
      <c r="J174" s="41"/>
      <c r="K174" s="36"/>
      <c r="L174" s="41"/>
      <c r="M174" s="41"/>
      <c r="N174" s="41"/>
      <c r="O174" s="41"/>
      <c r="P174" s="41"/>
      <c r="Q174" s="219"/>
      <c r="R174" s="42"/>
      <c r="S174" s="43"/>
      <c r="T174" s="42"/>
      <c r="U174" s="43"/>
    </row>
    <row r="175" spans="2:21" x14ac:dyDescent="0.35">
      <c r="B175" s="36"/>
      <c r="C175" s="41"/>
      <c r="D175" s="41"/>
      <c r="E175" s="41"/>
      <c r="F175" s="41"/>
      <c r="G175" s="41"/>
      <c r="H175" s="41"/>
      <c r="I175" s="41"/>
      <c r="J175" s="41"/>
      <c r="K175" s="36"/>
      <c r="L175" s="41"/>
      <c r="M175" s="41"/>
      <c r="N175" s="41"/>
      <c r="O175" s="41"/>
      <c r="P175" s="41"/>
      <c r="Q175" s="219"/>
      <c r="R175" s="42"/>
      <c r="S175" s="43"/>
      <c r="T175" s="42"/>
      <c r="U175" s="43"/>
    </row>
    <row r="176" spans="2:21" x14ac:dyDescent="0.35">
      <c r="B176" s="219"/>
      <c r="C176" s="219"/>
      <c r="D176" s="219"/>
      <c r="E176" s="41"/>
      <c r="F176" s="219"/>
      <c r="G176" s="219"/>
      <c r="H176" s="219"/>
      <c r="I176" s="219"/>
      <c r="J176" s="219"/>
      <c r="K176" s="219"/>
      <c r="L176" s="41"/>
      <c r="M176" s="41"/>
      <c r="N176" s="41"/>
      <c r="O176" s="41"/>
      <c r="P176" s="41"/>
      <c r="Q176" s="219"/>
    </row>
    <row r="177" spans="5:16" x14ac:dyDescent="0.35">
      <c r="E177" s="41"/>
      <c r="F177" s="219"/>
      <c r="G177" s="219"/>
      <c r="H177" s="219"/>
      <c r="I177" s="219"/>
      <c r="J177" s="219"/>
      <c r="K177" s="219"/>
      <c r="L177" s="41"/>
      <c r="M177" s="41"/>
      <c r="N177" s="41"/>
      <c r="O177" s="41"/>
      <c r="P177" s="41"/>
    </row>
    <row r="178" spans="5:16" x14ac:dyDescent="0.35">
      <c r="E178" s="41"/>
      <c r="F178" s="219"/>
      <c r="G178" s="219"/>
      <c r="H178" s="219"/>
      <c r="I178" s="219"/>
      <c r="J178" s="219"/>
      <c r="K178" s="219"/>
      <c r="L178" s="41"/>
      <c r="M178" s="41"/>
      <c r="N178" s="41"/>
      <c r="O178" s="41"/>
      <c r="P178" s="41"/>
    </row>
    <row r="179" spans="5:16" x14ac:dyDescent="0.35">
      <c r="E179" s="41"/>
      <c r="F179" s="219"/>
      <c r="G179" s="219"/>
      <c r="H179" s="219"/>
      <c r="I179" s="219"/>
      <c r="J179" s="219"/>
      <c r="K179" s="219"/>
      <c r="L179" s="41"/>
      <c r="M179" s="41"/>
      <c r="N179" s="41"/>
      <c r="O179" s="41"/>
      <c r="P179" s="41"/>
    </row>
    <row r="180" spans="5:16" x14ac:dyDescent="0.35">
      <c r="E180" s="41"/>
      <c r="F180" s="219"/>
      <c r="G180" s="219"/>
      <c r="H180" s="219"/>
      <c r="I180" s="219"/>
      <c r="J180" s="219"/>
      <c r="K180" s="219"/>
      <c r="L180" s="41"/>
      <c r="M180" s="41"/>
      <c r="N180" s="41"/>
      <c r="O180" s="41"/>
      <c r="P180" s="41"/>
    </row>
    <row r="181" spans="5:16" x14ac:dyDescent="0.35">
      <c r="E181" s="41"/>
      <c r="F181" s="219"/>
      <c r="G181" s="219"/>
      <c r="H181" s="219"/>
      <c r="I181" s="219"/>
      <c r="J181" s="219"/>
      <c r="K181" s="219"/>
      <c r="L181" s="41"/>
      <c r="M181" s="41"/>
      <c r="N181" s="41"/>
      <c r="O181" s="41"/>
      <c r="P181" s="41"/>
    </row>
    <row r="182" spans="5:16" x14ac:dyDescent="0.35">
      <c r="E182" s="41"/>
      <c r="F182" s="219"/>
      <c r="G182" s="219"/>
      <c r="H182" s="219"/>
      <c r="I182" s="219"/>
      <c r="J182" s="219"/>
      <c r="K182" s="219"/>
      <c r="L182" s="41"/>
      <c r="M182" s="41"/>
      <c r="N182" s="41"/>
      <c r="O182" s="41"/>
      <c r="P182" s="41"/>
    </row>
    <row r="183" spans="5:16" x14ac:dyDescent="0.35">
      <c r="E183" s="41"/>
      <c r="F183" s="219"/>
      <c r="G183" s="219"/>
      <c r="H183" s="219"/>
      <c r="I183" s="219"/>
      <c r="J183" s="219"/>
      <c r="K183" s="219"/>
      <c r="L183" s="41"/>
      <c r="M183" s="41"/>
      <c r="N183" s="41"/>
      <c r="O183" s="41"/>
      <c r="P183" s="41"/>
    </row>
    <row r="184" spans="5:16" x14ac:dyDescent="0.35">
      <c r="E184" s="41"/>
      <c r="F184" s="219"/>
      <c r="G184" s="219"/>
      <c r="H184" s="219"/>
      <c r="I184" s="219"/>
      <c r="J184" s="219"/>
      <c r="K184" s="219"/>
      <c r="L184" s="41"/>
      <c r="M184" s="41"/>
      <c r="N184" s="41"/>
      <c r="O184" s="41"/>
      <c r="P184" s="41"/>
    </row>
    <row r="185" spans="5:16" x14ac:dyDescent="0.35">
      <c r="E185" s="41"/>
      <c r="F185" s="219"/>
      <c r="G185" s="219"/>
      <c r="H185" s="219"/>
      <c r="I185" s="219"/>
      <c r="J185" s="219"/>
      <c r="K185" s="219"/>
      <c r="L185" s="41"/>
      <c r="M185" s="41"/>
      <c r="N185" s="41"/>
      <c r="O185" s="41"/>
      <c r="P185" s="41"/>
    </row>
    <row r="186" spans="5:16" x14ac:dyDescent="0.35">
      <c r="E186" s="41"/>
      <c r="F186" s="219"/>
      <c r="G186" s="219"/>
      <c r="H186" s="219"/>
      <c r="I186" s="219"/>
      <c r="J186" s="219"/>
      <c r="K186" s="219"/>
      <c r="L186" s="41"/>
      <c r="M186" s="41"/>
      <c r="N186" s="41"/>
      <c r="O186" s="41"/>
      <c r="P186" s="41"/>
    </row>
    <row r="187" spans="5:16" x14ac:dyDescent="0.35">
      <c r="E187" s="41"/>
      <c r="F187" s="219"/>
      <c r="G187" s="219"/>
      <c r="H187" s="219"/>
      <c r="I187" s="219"/>
      <c r="J187" s="219"/>
      <c r="K187" s="219"/>
      <c r="L187" s="41"/>
      <c r="M187" s="41"/>
      <c r="N187" s="41"/>
      <c r="O187" s="41"/>
      <c r="P187" s="41"/>
    </row>
    <row r="188" spans="5:16" x14ac:dyDescent="0.35">
      <c r="E188" s="41"/>
      <c r="F188" s="219"/>
      <c r="G188" s="219"/>
      <c r="H188" s="219"/>
      <c r="I188" s="219"/>
      <c r="J188" s="219"/>
      <c r="K188" s="219"/>
      <c r="L188" s="41"/>
      <c r="M188" s="41"/>
      <c r="N188" s="41"/>
      <c r="O188" s="41"/>
      <c r="P188" s="41"/>
    </row>
    <row r="189" spans="5:16" x14ac:dyDescent="0.35">
      <c r="E189" s="41"/>
      <c r="F189" s="219"/>
      <c r="G189" s="219"/>
      <c r="H189" s="219"/>
      <c r="I189" s="219"/>
      <c r="J189" s="219"/>
      <c r="K189" s="219"/>
      <c r="L189" s="41"/>
      <c r="M189" s="41"/>
      <c r="N189" s="41"/>
      <c r="O189" s="41"/>
      <c r="P189" s="41"/>
    </row>
    <row r="190" spans="5:16" x14ac:dyDescent="0.35">
      <c r="E190" s="41"/>
      <c r="F190" s="219"/>
      <c r="G190" s="219"/>
      <c r="H190" s="219"/>
      <c r="I190" s="219"/>
      <c r="J190" s="219"/>
      <c r="K190" s="219"/>
      <c r="L190" s="41"/>
      <c r="M190" s="41"/>
      <c r="N190" s="41"/>
      <c r="O190" s="41"/>
      <c r="P190" s="41"/>
    </row>
    <row r="191" spans="5:16" x14ac:dyDescent="0.35">
      <c r="E191" s="41"/>
      <c r="F191" s="219"/>
      <c r="G191" s="219"/>
      <c r="H191" s="219"/>
      <c r="I191" s="219"/>
      <c r="J191" s="219"/>
      <c r="K191" s="219"/>
      <c r="L191" s="41"/>
      <c r="M191" s="41"/>
      <c r="N191" s="41"/>
      <c r="O191" s="41"/>
      <c r="P191" s="41"/>
    </row>
    <row r="192" spans="5:16" x14ac:dyDescent="0.35">
      <c r="E192" s="41"/>
      <c r="F192" s="219"/>
      <c r="G192" s="219"/>
      <c r="H192" s="219"/>
      <c r="I192" s="219"/>
      <c r="J192" s="219"/>
      <c r="K192" s="219"/>
      <c r="L192" s="41"/>
      <c r="M192" s="41"/>
      <c r="N192" s="41"/>
      <c r="O192" s="41"/>
      <c r="P192" s="41"/>
    </row>
    <row r="193" spans="5:16" x14ac:dyDescent="0.35">
      <c r="E193" s="41"/>
      <c r="F193" s="219"/>
      <c r="G193" s="219"/>
      <c r="H193" s="219"/>
      <c r="I193" s="219"/>
      <c r="J193" s="219"/>
      <c r="K193" s="219"/>
      <c r="L193" s="41"/>
      <c r="M193" s="41"/>
      <c r="N193" s="41"/>
      <c r="O193" s="41"/>
      <c r="P193" s="41"/>
    </row>
    <row r="194" spans="5:16" x14ac:dyDescent="0.35">
      <c r="E194" s="41"/>
      <c r="F194" s="219"/>
      <c r="G194" s="219"/>
      <c r="H194" s="219"/>
      <c r="I194" s="219"/>
      <c r="J194" s="219"/>
      <c r="K194" s="219"/>
      <c r="L194" s="41"/>
      <c r="M194" s="41"/>
      <c r="N194" s="41"/>
      <c r="O194" s="41"/>
      <c r="P194" s="41"/>
    </row>
    <row r="195" spans="5:16" x14ac:dyDescent="0.35">
      <c r="E195" s="41"/>
      <c r="F195" s="219"/>
      <c r="G195" s="219"/>
      <c r="H195" s="219"/>
      <c r="I195" s="219"/>
      <c r="J195" s="219"/>
      <c r="K195" s="219"/>
      <c r="L195" s="41"/>
      <c r="M195" s="41"/>
      <c r="N195" s="41"/>
      <c r="O195" s="41"/>
      <c r="P195" s="41"/>
    </row>
    <row r="196" spans="5:16" x14ac:dyDescent="0.35">
      <c r="E196" s="41"/>
      <c r="F196" s="219"/>
      <c r="G196" s="219"/>
      <c r="H196" s="219"/>
      <c r="I196" s="219"/>
      <c r="J196" s="219"/>
      <c r="K196" s="219"/>
      <c r="L196" s="41"/>
      <c r="M196" s="41"/>
      <c r="N196" s="41"/>
      <c r="O196" s="41"/>
      <c r="P196" s="41"/>
    </row>
    <row r="197" spans="5:16" x14ac:dyDescent="0.35">
      <c r="E197" s="41"/>
      <c r="F197" s="219"/>
      <c r="G197" s="219"/>
      <c r="H197" s="219"/>
      <c r="I197" s="219"/>
      <c r="J197" s="219"/>
      <c r="K197" s="219"/>
      <c r="L197" s="41"/>
      <c r="M197" s="41"/>
      <c r="N197" s="41"/>
      <c r="O197" s="41"/>
      <c r="P197" s="41"/>
    </row>
    <row r="198" spans="5:16" x14ac:dyDescent="0.35">
      <c r="E198" s="41"/>
      <c r="F198" s="219"/>
      <c r="G198" s="219"/>
      <c r="H198" s="219"/>
      <c r="I198" s="219"/>
      <c r="J198" s="219"/>
      <c r="K198" s="219"/>
      <c r="L198" s="41"/>
      <c r="M198" s="41"/>
      <c r="N198" s="41"/>
      <c r="O198" s="41"/>
      <c r="P198" s="41"/>
    </row>
    <row r="199" spans="5:16" x14ac:dyDescent="0.35">
      <c r="E199" s="41"/>
      <c r="F199" s="219"/>
      <c r="G199" s="219"/>
      <c r="H199" s="219"/>
      <c r="I199" s="219"/>
      <c r="J199" s="219"/>
      <c r="K199" s="219"/>
      <c r="L199" s="41"/>
      <c r="M199" s="41"/>
      <c r="N199" s="41"/>
      <c r="O199" s="41"/>
      <c r="P199" s="41"/>
    </row>
    <row r="200" spans="5:16" x14ac:dyDescent="0.35">
      <c r="E200" s="41"/>
      <c r="F200" s="219"/>
      <c r="G200" s="219"/>
      <c r="H200" s="219"/>
      <c r="I200" s="219"/>
      <c r="J200" s="219"/>
      <c r="K200" s="219"/>
      <c r="L200" s="41"/>
      <c r="M200" s="41"/>
      <c r="N200" s="41"/>
      <c r="O200" s="41"/>
      <c r="P200" s="41"/>
    </row>
    <row r="201" spans="5:16" x14ac:dyDescent="0.35">
      <c r="E201" s="41"/>
      <c r="F201" s="219"/>
      <c r="G201" s="219"/>
      <c r="H201" s="219"/>
      <c r="I201" s="219"/>
      <c r="J201" s="219"/>
      <c r="K201" s="219"/>
      <c r="L201" s="41"/>
      <c r="M201" s="41"/>
      <c r="N201" s="41"/>
      <c r="O201" s="41"/>
      <c r="P201" s="41"/>
    </row>
    <row r="202" spans="5:16" x14ac:dyDescent="0.35">
      <c r="E202" s="41"/>
      <c r="F202" s="219"/>
      <c r="G202" s="219"/>
      <c r="H202" s="219"/>
      <c r="I202" s="219"/>
      <c r="J202" s="219"/>
      <c r="K202" s="219"/>
      <c r="L202" s="41"/>
      <c r="M202" s="41"/>
      <c r="N202" s="41"/>
      <c r="O202" s="41"/>
      <c r="P202" s="41"/>
    </row>
    <row r="203" spans="5:16" x14ac:dyDescent="0.35">
      <c r="E203" s="41"/>
      <c r="F203" s="219"/>
      <c r="G203" s="219"/>
      <c r="H203" s="219"/>
      <c r="I203" s="219"/>
      <c r="J203" s="219"/>
      <c r="K203" s="219"/>
      <c r="L203" s="41"/>
      <c r="M203" s="41"/>
      <c r="N203" s="41"/>
      <c r="O203" s="41"/>
      <c r="P203" s="41"/>
    </row>
    <row r="204" spans="5:16" x14ac:dyDescent="0.35">
      <c r="E204" s="41"/>
      <c r="F204" s="219"/>
      <c r="G204" s="219"/>
      <c r="H204" s="219"/>
      <c r="I204" s="219"/>
      <c r="J204" s="219"/>
      <c r="K204" s="219"/>
      <c r="L204" s="41"/>
      <c r="M204" s="41"/>
      <c r="N204" s="41"/>
      <c r="O204" s="41"/>
      <c r="P204" s="41"/>
    </row>
    <row r="205" spans="5:16" x14ac:dyDescent="0.35">
      <c r="E205" s="41"/>
      <c r="F205" s="219"/>
      <c r="G205" s="219"/>
      <c r="H205" s="219"/>
      <c r="I205" s="219"/>
      <c r="J205" s="219"/>
      <c r="K205" s="219"/>
      <c r="L205" s="41"/>
      <c r="M205" s="41"/>
      <c r="N205" s="41"/>
      <c r="O205" s="41"/>
      <c r="P205" s="41"/>
    </row>
    <row r="206" spans="5:16" x14ac:dyDescent="0.35">
      <c r="E206" s="41"/>
      <c r="F206" s="219"/>
      <c r="G206" s="219"/>
      <c r="H206" s="219"/>
      <c r="I206" s="219"/>
      <c r="J206" s="219"/>
      <c r="K206" s="219"/>
      <c r="L206" s="41"/>
      <c r="M206" s="41"/>
      <c r="N206" s="41"/>
      <c r="O206" s="41"/>
      <c r="P206" s="41"/>
    </row>
    <row r="207" spans="5:16" x14ac:dyDescent="0.35">
      <c r="E207" s="41"/>
      <c r="F207" s="219"/>
      <c r="G207" s="219"/>
      <c r="H207" s="219"/>
      <c r="I207" s="219"/>
      <c r="J207" s="219"/>
      <c r="K207" s="219"/>
      <c r="L207" s="41"/>
      <c r="M207" s="41"/>
      <c r="N207" s="41"/>
      <c r="O207" s="41"/>
      <c r="P207" s="41"/>
    </row>
    <row r="208" spans="5:16" x14ac:dyDescent="0.35">
      <c r="E208" s="41"/>
      <c r="F208" s="219"/>
      <c r="G208" s="219"/>
      <c r="H208" s="219"/>
      <c r="I208" s="219"/>
      <c r="J208" s="219"/>
      <c r="K208" s="219"/>
      <c r="L208" s="41"/>
      <c r="M208" s="41"/>
      <c r="N208" s="41"/>
      <c r="O208" s="41"/>
      <c r="P208" s="41"/>
    </row>
    <row r="209" spans="5:16" x14ac:dyDescent="0.35">
      <c r="E209" s="41"/>
      <c r="F209" s="219"/>
      <c r="G209" s="219"/>
      <c r="H209" s="219"/>
      <c r="I209" s="219"/>
      <c r="J209" s="219"/>
      <c r="K209" s="219"/>
      <c r="L209" s="41"/>
      <c r="M209" s="41"/>
      <c r="N209" s="41"/>
      <c r="O209" s="41"/>
      <c r="P209" s="41"/>
    </row>
    <row r="210" spans="5:16" x14ac:dyDescent="0.35">
      <c r="E210" s="41"/>
      <c r="F210" s="219"/>
      <c r="G210" s="219"/>
      <c r="H210" s="219"/>
      <c r="I210" s="219"/>
      <c r="J210" s="219"/>
      <c r="K210" s="219"/>
      <c r="L210" s="41"/>
      <c r="M210" s="41"/>
      <c r="N210" s="41"/>
      <c r="O210" s="41"/>
      <c r="P210" s="41"/>
    </row>
    <row r="211" spans="5:16" x14ac:dyDescent="0.35">
      <c r="E211" s="41"/>
      <c r="F211" s="219"/>
      <c r="G211" s="219"/>
      <c r="H211" s="219"/>
      <c r="I211" s="219"/>
      <c r="J211" s="219"/>
      <c r="K211" s="219"/>
      <c r="L211" s="41"/>
      <c r="M211" s="41"/>
      <c r="N211" s="41"/>
      <c r="O211" s="41"/>
      <c r="P211" s="41"/>
    </row>
    <row r="212" spans="5:16" x14ac:dyDescent="0.35">
      <c r="E212" s="41"/>
      <c r="F212" s="219"/>
      <c r="G212" s="219"/>
      <c r="H212" s="219"/>
      <c r="I212" s="219"/>
      <c r="J212" s="219"/>
      <c r="K212" s="219"/>
      <c r="L212" s="41"/>
      <c r="M212" s="41"/>
      <c r="N212" s="41"/>
      <c r="O212" s="41"/>
      <c r="P212" s="41"/>
    </row>
    <row r="213" spans="5:16" x14ac:dyDescent="0.35">
      <c r="E213" s="41"/>
      <c r="F213" s="219"/>
      <c r="G213" s="219"/>
      <c r="H213" s="219"/>
      <c r="I213" s="219"/>
      <c r="J213" s="219"/>
      <c r="K213" s="219"/>
      <c r="L213" s="41"/>
      <c r="M213" s="41"/>
      <c r="N213" s="41"/>
      <c r="O213" s="41"/>
      <c r="P213" s="41"/>
    </row>
    <row r="214" spans="5:16" x14ac:dyDescent="0.35">
      <c r="E214" s="41"/>
      <c r="F214" s="219"/>
      <c r="G214" s="219"/>
      <c r="H214" s="219"/>
      <c r="I214" s="219"/>
      <c r="J214" s="219"/>
      <c r="K214" s="219"/>
      <c r="L214" s="41"/>
      <c r="M214" s="41"/>
      <c r="N214" s="41"/>
      <c r="O214" s="41"/>
      <c r="P214" s="41"/>
    </row>
    <row r="215" spans="5:16" x14ac:dyDescent="0.35">
      <c r="E215" s="41"/>
      <c r="F215" s="219"/>
      <c r="G215" s="219"/>
      <c r="H215" s="219"/>
      <c r="I215" s="219"/>
      <c r="J215" s="219"/>
      <c r="K215" s="219"/>
      <c r="L215" s="41"/>
      <c r="M215" s="41"/>
      <c r="N215" s="41"/>
      <c r="O215" s="41"/>
      <c r="P215" s="41"/>
    </row>
    <row r="216" spans="5:16" x14ac:dyDescent="0.35">
      <c r="E216" s="41"/>
      <c r="F216" s="219"/>
      <c r="G216" s="219"/>
      <c r="H216" s="219"/>
      <c r="I216" s="219"/>
      <c r="J216" s="219"/>
      <c r="K216" s="219"/>
      <c r="L216" s="41"/>
      <c r="M216" s="41"/>
      <c r="N216" s="41"/>
      <c r="O216" s="41"/>
      <c r="P216" s="41"/>
    </row>
    <row r="217" spans="5:16" x14ac:dyDescent="0.35">
      <c r="E217" s="41"/>
      <c r="F217" s="219"/>
      <c r="G217" s="219"/>
      <c r="H217" s="219"/>
      <c r="I217" s="219"/>
      <c r="J217" s="219"/>
      <c r="K217" s="219"/>
      <c r="L217" s="41"/>
      <c r="M217" s="41"/>
      <c r="N217" s="41"/>
      <c r="O217" s="41"/>
      <c r="P217" s="41"/>
    </row>
    <row r="218" spans="5:16" x14ac:dyDescent="0.35">
      <c r="E218" s="41"/>
      <c r="F218" s="219"/>
      <c r="G218" s="219"/>
      <c r="H218" s="219"/>
      <c r="I218" s="219"/>
      <c r="J218" s="219"/>
      <c r="K218" s="219"/>
      <c r="L218" s="41"/>
      <c r="M218" s="41"/>
      <c r="N218" s="41"/>
      <c r="O218" s="41"/>
      <c r="P218" s="41"/>
    </row>
    <row r="219" spans="5:16" x14ac:dyDescent="0.35">
      <c r="E219" s="41"/>
      <c r="F219" s="219"/>
      <c r="G219" s="219"/>
      <c r="H219" s="219"/>
      <c r="I219" s="219"/>
      <c r="J219" s="219"/>
      <c r="K219" s="219"/>
      <c r="L219" s="41"/>
      <c r="M219" s="41"/>
      <c r="N219" s="41"/>
      <c r="O219" s="41"/>
      <c r="P219" s="41"/>
    </row>
    <row r="220" spans="5:16" x14ac:dyDescent="0.35">
      <c r="E220" s="41"/>
      <c r="F220" s="219"/>
      <c r="G220" s="219"/>
      <c r="H220" s="219"/>
      <c r="I220" s="219"/>
      <c r="J220" s="219"/>
      <c r="K220" s="219"/>
      <c r="L220" s="41"/>
      <c r="M220" s="41"/>
      <c r="N220" s="41"/>
      <c r="O220" s="41"/>
      <c r="P220" s="41"/>
    </row>
    <row r="221" spans="5:16" x14ac:dyDescent="0.35">
      <c r="E221" s="41"/>
      <c r="F221" s="219"/>
      <c r="G221" s="219"/>
      <c r="H221" s="219"/>
      <c r="I221" s="219"/>
      <c r="J221" s="219"/>
      <c r="K221" s="219"/>
      <c r="L221" s="41"/>
      <c r="M221" s="41"/>
      <c r="N221" s="41"/>
      <c r="O221" s="41"/>
      <c r="P221" s="41"/>
    </row>
    <row r="222" spans="5:16" x14ac:dyDescent="0.35">
      <c r="E222" s="41"/>
      <c r="F222" s="219"/>
      <c r="G222" s="219"/>
      <c r="H222" s="219"/>
      <c r="I222" s="219"/>
      <c r="J222" s="219"/>
      <c r="K222" s="219"/>
      <c r="L222" s="41"/>
      <c r="M222" s="41"/>
      <c r="N222" s="41"/>
      <c r="O222" s="41"/>
      <c r="P222" s="41"/>
    </row>
    <row r="223" spans="5:16" x14ac:dyDescent="0.35">
      <c r="E223" s="41"/>
      <c r="F223" s="219"/>
      <c r="G223" s="219"/>
      <c r="H223" s="219"/>
      <c r="I223" s="219"/>
      <c r="J223" s="219"/>
      <c r="K223" s="219"/>
      <c r="L223" s="41"/>
      <c r="M223" s="41"/>
      <c r="N223" s="41"/>
      <c r="O223" s="41"/>
      <c r="P223" s="41"/>
    </row>
    <row r="224" spans="5:16" x14ac:dyDescent="0.35">
      <c r="E224" s="41"/>
      <c r="F224" s="219"/>
      <c r="G224" s="219"/>
      <c r="H224" s="219"/>
      <c r="I224" s="219"/>
      <c r="J224" s="219"/>
      <c r="K224" s="219"/>
      <c r="L224" s="41"/>
      <c r="M224" s="41"/>
      <c r="N224" s="41"/>
      <c r="O224" s="41"/>
      <c r="P224" s="41"/>
    </row>
    <row r="225" spans="5:16" x14ac:dyDescent="0.35">
      <c r="E225" s="41"/>
      <c r="F225" s="219"/>
      <c r="G225" s="219"/>
      <c r="H225" s="219"/>
      <c r="I225" s="219"/>
      <c r="J225" s="219"/>
      <c r="K225" s="219"/>
      <c r="L225" s="41"/>
      <c r="M225" s="41"/>
      <c r="N225" s="41"/>
      <c r="O225" s="41"/>
      <c r="P225" s="41"/>
    </row>
    <row r="226" spans="5:16" x14ac:dyDescent="0.35">
      <c r="E226" s="41"/>
      <c r="F226" s="219"/>
      <c r="G226" s="219"/>
      <c r="H226" s="219"/>
      <c r="I226" s="219"/>
      <c r="J226" s="219"/>
      <c r="K226" s="219"/>
      <c r="L226" s="41"/>
      <c r="M226" s="41"/>
      <c r="N226" s="41"/>
      <c r="O226" s="41"/>
      <c r="P226" s="41"/>
    </row>
    <row r="227" spans="5:16" x14ac:dyDescent="0.35">
      <c r="E227" s="41"/>
      <c r="F227" s="219"/>
      <c r="G227" s="219"/>
      <c r="H227" s="219"/>
      <c r="I227" s="219"/>
      <c r="J227" s="219"/>
      <c r="K227" s="219"/>
      <c r="L227" s="41"/>
      <c r="M227" s="41"/>
      <c r="N227" s="41"/>
      <c r="O227" s="41"/>
      <c r="P227" s="41"/>
    </row>
    <row r="228" spans="5:16" x14ac:dyDescent="0.35">
      <c r="E228" s="41"/>
      <c r="F228" s="219"/>
      <c r="G228" s="219"/>
      <c r="H228" s="219"/>
      <c r="I228" s="219"/>
      <c r="J228" s="219"/>
      <c r="K228" s="219"/>
      <c r="L228" s="41"/>
      <c r="M228" s="41"/>
      <c r="N228" s="41"/>
      <c r="O228" s="41"/>
      <c r="P228" s="41"/>
    </row>
    <row r="229" spans="5:16" x14ac:dyDescent="0.35">
      <c r="E229" s="41"/>
      <c r="F229" s="219"/>
      <c r="G229" s="219"/>
      <c r="H229" s="219"/>
      <c r="I229" s="219"/>
      <c r="J229" s="219"/>
      <c r="K229" s="219"/>
      <c r="L229" s="41"/>
      <c r="M229" s="41"/>
      <c r="N229" s="41"/>
      <c r="O229" s="41"/>
      <c r="P229" s="41"/>
    </row>
    <row r="230" spans="5:16" x14ac:dyDescent="0.35">
      <c r="E230" s="41"/>
      <c r="F230" s="219"/>
      <c r="G230" s="219"/>
      <c r="H230" s="219"/>
      <c r="I230" s="219"/>
      <c r="J230" s="219"/>
      <c r="K230" s="219"/>
      <c r="L230" s="41"/>
      <c r="M230" s="41"/>
      <c r="N230" s="41"/>
      <c r="O230" s="41"/>
      <c r="P230" s="41"/>
    </row>
    <row r="231" spans="5:16" x14ac:dyDescent="0.35">
      <c r="E231" s="41"/>
      <c r="F231" s="219"/>
      <c r="G231" s="219"/>
      <c r="H231" s="219"/>
      <c r="I231" s="219"/>
      <c r="J231" s="219"/>
      <c r="K231" s="219"/>
      <c r="L231" s="41"/>
      <c r="M231" s="41"/>
      <c r="N231" s="41"/>
      <c r="O231" s="41"/>
      <c r="P231" s="41"/>
    </row>
    <row r="232" spans="5:16" x14ac:dyDescent="0.35">
      <c r="E232" s="41"/>
      <c r="F232" s="219"/>
      <c r="G232" s="219"/>
      <c r="H232" s="219"/>
      <c r="I232" s="219"/>
      <c r="J232" s="219"/>
      <c r="K232" s="219"/>
      <c r="L232" s="41"/>
      <c r="M232" s="41"/>
      <c r="N232" s="41"/>
      <c r="O232" s="41"/>
      <c r="P232" s="41"/>
    </row>
    <row r="233" spans="5:16" x14ac:dyDescent="0.35">
      <c r="E233" s="41"/>
      <c r="F233" s="219"/>
      <c r="G233" s="219"/>
      <c r="H233" s="219"/>
      <c r="I233" s="219"/>
      <c r="J233" s="219"/>
      <c r="K233" s="219"/>
      <c r="L233" s="41"/>
      <c r="M233" s="41"/>
      <c r="N233" s="41"/>
      <c r="O233" s="41"/>
      <c r="P233" s="41"/>
    </row>
    <row r="234" spans="5:16" x14ac:dyDescent="0.35">
      <c r="E234" s="41"/>
      <c r="F234" s="219"/>
      <c r="G234" s="219"/>
      <c r="H234" s="219"/>
      <c r="I234" s="219"/>
      <c r="J234" s="219"/>
      <c r="K234" s="219"/>
      <c r="L234" s="41"/>
      <c r="M234" s="41"/>
      <c r="N234" s="41"/>
      <c r="O234" s="41"/>
      <c r="P234" s="41"/>
    </row>
    <row r="235" spans="5:16" x14ac:dyDescent="0.35">
      <c r="E235" s="41"/>
      <c r="F235" s="219"/>
      <c r="G235" s="219"/>
      <c r="H235" s="219"/>
      <c r="I235" s="219"/>
      <c r="J235" s="219"/>
      <c r="K235" s="219"/>
      <c r="L235" s="41"/>
      <c r="M235" s="41"/>
      <c r="N235" s="41"/>
      <c r="O235" s="41"/>
      <c r="P235" s="41"/>
    </row>
    <row r="236" spans="5:16" x14ac:dyDescent="0.35">
      <c r="E236" s="41"/>
      <c r="F236" s="219"/>
      <c r="G236" s="219"/>
      <c r="H236" s="219"/>
      <c r="I236" s="219"/>
      <c r="J236" s="219"/>
      <c r="K236" s="219"/>
      <c r="L236" s="41"/>
      <c r="M236" s="41"/>
      <c r="N236" s="41"/>
      <c r="O236" s="41"/>
      <c r="P236" s="41"/>
    </row>
    <row r="237" spans="5:16" x14ac:dyDescent="0.35">
      <c r="E237" s="41"/>
      <c r="F237" s="219"/>
      <c r="G237" s="219"/>
      <c r="H237" s="219"/>
      <c r="I237" s="219"/>
      <c r="J237" s="219"/>
      <c r="K237" s="219"/>
      <c r="L237" s="41"/>
      <c r="M237" s="41"/>
      <c r="N237" s="41"/>
      <c r="O237" s="41"/>
      <c r="P237" s="41"/>
    </row>
    <row r="238" spans="5:16" x14ac:dyDescent="0.35">
      <c r="E238" s="41"/>
      <c r="F238" s="219"/>
      <c r="G238" s="219"/>
      <c r="H238" s="219"/>
      <c r="I238" s="219"/>
      <c r="J238" s="219"/>
      <c r="K238" s="219"/>
      <c r="L238" s="41"/>
      <c r="M238" s="41"/>
      <c r="N238" s="41"/>
      <c r="O238" s="41"/>
      <c r="P238" s="41"/>
    </row>
    <row r="239" spans="5:16" x14ac:dyDescent="0.35">
      <c r="E239" s="41"/>
      <c r="F239" s="219"/>
      <c r="G239" s="219"/>
      <c r="H239" s="219"/>
      <c r="I239" s="219"/>
      <c r="J239" s="219"/>
      <c r="K239" s="219"/>
      <c r="L239" s="41"/>
      <c r="M239" s="41"/>
      <c r="N239" s="41"/>
      <c r="O239" s="41"/>
      <c r="P239" s="41"/>
    </row>
    <row r="240" spans="5:16" x14ac:dyDescent="0.35">
      <c r="E240" s="41"/>
      <c r="F240" s="219"/>
      <c r="G240" s="219"/>
      <c r="H240" s="219"/>
      <c r="I240" s="219"/>
      <c r="J240" s="219"/>
      <c r="K240" s="219"/>
      <c r="L240" s="41"/>
      <c r="M240" s="41"/>
      <c r="N240" s="41"/>
      <c r="O240" s="41"/>
      <c r="P240" s="41"/>
    </row>
    <row r="241" spans="5:16" x14ac:dyDescent="0.35">
      <c r="E241" s="41"/>
      <c r="F241" s="219"/>
      <c r="G241" s="219"/>
      <c r="H241" s="219"/>
      <c r="I241" s="219"/>
      <c r="J241" s="219"/>
      <c r="K241" s="219"/>
      <c r="L241" s="41"/>
      <c r="M241" s="41"/>
      <c r="N241" s="41"/>
      <c r="O241" s="41"/>
      <c r="P241" s="41"/>
    </row>
    <row r="242" spans="5:16" x14ac:dyDescent="0.35">
      <c r="E242" s="41"/>
      <c r="F242" s="219"/>
      <c r="G242" s="219"/>
      <c r="H242" s="219"/>
      <c r="I242" s="219"/>
      <c r="J242" s="219"/>
      <c r="K242" s="219"/>
      <c r="L242" s="41"/>
      <c r="M242" s="41"/>
      <c r="N242" s="41"/>
      <c r="O242" s="41"/>
      <c r="P242" s="41"/>
    </row>
    <row r="243" spans="5:16" x14ac:dyDescent="0.35">
      <c r="E243" s="41"/>
      <c r="F243" s="219"/>
      <c r="G243" s="219"/>
      <c r="H243" s="219"/>
      <c r="I243" s="219"/>
      <c r="J243" s="219"/>
      <c r="K243" s="219"/>
      <c r="L243" s="41"/>
      <c r="M243" s="41"/>
      <c r="N243" s="41"/>
      <c r="O243" s="41"/>
      <c r="P243" s="41"/>
    </row>
    <row r="244" spans="5:16" x14ac:dyDescent="0.35">
      <c r="E244" s="41"/>
      <c r="F244" s="219"/>
      <c r="G244" s="219"/>
      <c r="H244" s="219"/>
      <c r="I244" s="219"/>
      <c r="J244" s="219"/>
      <c r="K244" s="219"/>
      <c r="L244" s="41"/>
      <c r="M244" s="41"/>
      <c r="N244" s="41"/>
      <c r="O244" s="41"/>
      <c r="P244" s="41"/>
    </row>
    <row r="245" spans="5:16" x14ac:dyDescent="0.35">
      <c r="E245" s="41"/>
      <c r="F245" s="219"/>
      <c r="G245" s="219"/>
      <c r="H245" s="219"/>
      <c r="I245" s="219"/>
      <c r="J245" s="219"/>
      <c r="K245" s="219"/>
      <c r="L245" s="41"/>
      <c r="M245" s="41"/>
      <c r="N245" s="41"/>
      <c r="O245" s="41"/>
      <c r="P245" s="41"/>
    </row>
    <row r="246" spans="5:16" x14ac:dyDescent="0.35">
      <c r="E246" s="41"/>
      <c r="F246" s="219"/>
      <c r="G246" s="219"/>
      <c r="H246" s="219"/>
      <c r="I246" s="219"/>
      <c r="J246" s="219"/>
      <c r="K246" s="219"/>
      <c r="L246" s="41"/>
      <c r="M246" s="41"/>
      <c r="N246" s="41"/>
      <c r="O246" s="41"/>
      <c r="P246" s="41"/>
    </row>
    <row r="247" spans="5:16" x14ac:dyDescent="0.35">
      <c r="E247" s="41"/>
      <c r="F247" s="219"/>
      <c r="G247" s="219"/>
      <c r="H247" s="219"/>
      <c r="I247" s="219"/>
      <c r="J247" s="219"/>
      <c r="K247" s="219"/>
      <c r="L247" s="41"/>
      <c r="M247" s="41"/>
      <c r="N247" s="41"/>
      <c r="O247" s="41"/>
      <c r="P247" s="41"/>
    </row>
    <row r="248" spans="5:16" x14ac:dyDescent="0.35">
      <c r="E248" s="41"/>
      <c r="F248" s="219"/>
      <c r="G248" s="219"/>
      <c r="H248" s="219"/>
      <c r="I248" s="219"/>
      <c r="J248" s="219"/>
      <c r="K248" s="219"/>
      <c r="L248" s="41"/>
      <c r="M248" s="41"/>
      <c r="N248" s="41"/>
      <c r="O248" s="41"/>
      <c r="P248" s="41"/>
    </row>
    <row r="249" spans="5:16" x14ac:dyDescent="0.35">
      <c r="E249" s="41"/>
      <c r="F249" s="219"/>
      <c r="G249" s="219"/>
      <c r="H249" s="219"/>
      <c r="I249" s="219"/>
      <c r="J249" s="219"/>
      <c r="K249" s="219"/>
      <c r="L249" s="41"/>
      <c r="M249" s="41"/>
      <c r="N249" s="41"/>
      <c r="O249" s="41"/>
      <c r="P249" s="41"/>
    </row>
    <row r="250" spans="5:16" x14ac:dyDescent="0.35">
      <c r="E250" s="41"/>
      <c r="F250" s="219"/>
      <c r="G250" s="219"/>
      <c r="H250" s="219"/>
      <c r="I250" s="219"/>
      <c r="J250" s="219"/>
      <c r="K250" s="219"/>
      <c r="L250" s="41"/>
      <c r="M250" s="41"/>
      <c r="N250" s="41"/>
      <c r="O250" s="41"/>
      <c r="P250" s="41"/>
    </row>
    <row r="251" spans="5:16" x14ac:dyDescent="0.35">
      <c r="E251" s="41"/>
      <c r="F251" s="219"/>
      <c r="G251" s="219"/>
      <c r="H251" s="219"/>
      <c r="I251" s="219"/>
      <c r="J251" s="219"/>
      <c r="K251" s="219"/>
      <c r="L251" s="41"/>
      <c r="M251" s="41"/>
      <c r="N251" s="41"/>
      <c r="O251" s="41"/>
      <c r="P251" s="41"/>
    </row>
    <row r="252" spans="5:16" x14ac:dyDescent="0.35">
      <c r="E252" s="41"/>
      <c r="F252" s="219"/>
      <c r="G252" s="219"/>
      <c r="H252" s="219"/>
      <c r="I252" s="219"/>
      <c r="J252" s="219"/>
      <c r="K252" s="219"/>
      <c r="L252" s="41"/>
      <c r="M252" s="41"/>
      <c r="N252" s="41"/>
      <c r="O252" s="41"/>
      <c r="P252" s="41"/>
    </row>
    <row r="253" spans="5:16" x14ac:dyDescent="0.35">
      <c r="E253" s="41"/>
      <c r="F253" s="219"/>
      <c r="G253" s="219"/>
      <c r="H253" s="219"/>
      <c r="I253" s="219"/>
      <c r="J253" s="219"/>
      <c r="K253" s="219"/>
      <c r="L253" s="41"/>
      <c r="M253" s="41"/>
      <c r="N253" s="41"/>
      <c r="O253" s="41"/>
      <c r="P253" s="41"/>
    </row>
    <row r="254" spans="5:16" x14ac:dyDescent="0.35">
      <c r="E254" s="41"/>
      <c r="F254" s="219"/>
      <c r="G254" s="219"/>
      <c r="H254" s="219"/>
      <c r="I254" s="219"/>
      <c r="J254" s="219"/>
      <c r="K254" s="219"/>
      <c r="L254" s="41"/>
      <c r="M254" s="41"/>
      <c r="N254" s="41"/>
      <c r="O254" s="41"/>
      <c r="P254" s="41"/>
    </row>
    <row r="255" spans="5:16" x14ac:dyDescent="0.35">
      <c r="E255" s="41"/>
      <c r="F255" s="219"/>
      <c r="G255" s="219"/>
      <c r="H255" s="219"/>
      <c r="I255" s="219"/>
      <c r="J255" s="219"/>
      <c r="K255" s="219"/>
      <c r="L255" s="41"/>
      <c r="M255" s="41"/>
      <c r="N255" s="41"/>
      <c r="O255" s="41"/>
      <c r="P255" s="41"/>
    </row>
    <row r="256" spans="5:16" x14ac:dyDescent="0.35">
      <c r="E256" s="41"/>
      <c r="F256" s="219"/>
      <c r="G256" s="219"/>
      <c r="H256" s="219"/>
      <c r="I256" s="219"/>
      <c r="J256" s="219"/>
      <c r="K256" s="219"/>
      <c r="L256" s="41"/>
      <c r="M256" s="41"/>
      <c r="N256" s="41"/>
      <c r="O256" s="41"/>
      <c r="P256" s="41"/>
    </row>
    <row r="257" spans="5:16" x14ac:dyDescent="0.35">
      <c r="E257" s="41"/>
      <c r="F257" s="219"/>
      <c r="G257" s="219"/>
      <c r="H257" s="219"/>
      <c r="I257" s="219"/>
      <c r="J257" s="219"/>
      <c r="K257" s="219"/>
      <c r="L257" s="41"/>
      <c r="M257" s="41"/>
      <c r="N257" s="41"/>
      <c r="O257" s="41"/>
      <c r="P257" s="41"/>
    </row>
    <row r="258" spans="5:16" x14ac:dyDescent="0.35">
      <c r="E258" s="41"/>
      <c r="F258" s="219"/>
      <c r="G258" s="219"/>
      <c r="H258" s="219"/>
      <c r="I258" s="219"/>
      <c r="J258" s="219"/>
      <c r="K258" s="219"/>
      <c r="L258" s="41"/>
      <c r="M258" s="41"/>
      <c r="N258" s="41"/>
      <c r="O258" s="41"/>
      <c r="P258" s="41"/>
    </row>
    <row r="259" spans="5:16" x14ac:dyDescent="0.35">
      <c r="E259" s="41"/>
      <c r="F259" s="219"/>
      <c r="G259" s="219"/>
      <c r="H259" s="219"/>
      <c r="I259" s="219"/>
      <c r="J259" s="219"/>
      <c r="K259" s="219"/>
      <c r="L259" s="41"/>
      <c r="M259" s="41"/>
      <c r="N259" s="41"/>
      <c r="O259" s="41"/>
      <c r="P259" s="41"/>
    </row>
    <row r="260" spans="5:16" x14ac:dyDescent="0.35">
      <c r="E260" s="41"/>
      <c r="F260" s="219"/>
      <c r="G260" s="219"/>
      <c r="H260" s="219"/>
      <c r="I260" s="219"/>
      <c r="J260" s="219"/>
      <c r="K260" s="219"/>
      <c r="L260" s="41"/>
      <c r="M260" s="41"/>
      <c r="N260" s="41"/>
      <c r="O260" s="41"/>
      <c r="P260" s="41"/>
    </row>
    <row r="261" spans="5:16" x14ac:dyDescent="0.35">
      <c r="E261" s="41"/>
      <c r="F261" s="219"/>
      <c r="G261" s="219"/>
      <c r="H261" s="219"/>
      <c r="I261" s="219"/>
      <c r="J261" s="219"/>
      <c r="K261" s="219"/>
      <c r="L261" s="41"/>
      <c r="M261" s="41"/>
      <c r="N261" s="41"/>
      <c r="O261" s="41"/>
      <c r="P261" s="41"/>
    </row>
    <row r="262" spans="5:16" x14ac:dyDescent="0.35">
      <c r="E262" s="41"/>
      <c r="F262" s="219"/>
      <c r="G262" s="219"/>
      <c r="H262" s="219"/>
      <c r="I262" s="219"/>
      <c r="J262" s="219"/>
      <c r="K262" s="219"/>
      <c r="L262" s="41"/>
      <c r="M262" s="41"/>
      <c r="N262" s="41"/>
      <c r="O262" s="41"/>
      <c r="P262" s="41"/>
    </row>
    <row r="263" spans="5:16" x14ac:dyDescent="0.35">
      <c r="E263" s="41"/>
      <c r="F263" s="219"/>
      <c r="G263" s="219"/>
      <c r="H263" s="219"/>
      <c r="I263" s="219"/>
      <c r="J263" s="219"/>
      <c r="K263" s="219"/>
      <c r="L263" s="41"/>
      <c r="M263" s="41"/>
      <c r="N263" s="41"/>
      <c r="O263" s="41"/>
      <c r="P263" s="41"/>
    </row>
    <row r="264" spans="5:16" x14ac:dyDescent="0.35">
      <c r="E264" s="41"/>
      <c r="F264" s="219"/>
      <c r="G264" s="219"/>
      <c r="H264" s="219"/>
      <c r="I264" s="219"/>
      <c r="J264" s="219"/>
      <c r="K264" s="219"/>
      <c r="L264" s="41"/>
      <c r="M264" s="41"/>
      <c r="N264" s="41"/>
      <c r="O264" s="41"/>
      <c r="P264" s="41"/>
    </row>
    <row r="265" spans="5:16" x14ac:dyDescent="0.35">
      <c r="E265" s="41"/>
      <c r="F265" s="219"/>
      <c r="G265" s="219"/>
      <c r="H265" s="219"/>
      <c r="I265" s="219"/>
      <c r="J265" s="219"/>
      <c r="K265" s="219"/>
      <c r="L265" s="41"/>
      <c r="M265" s="41"/>
      <c r="N265" s="41"/>
      <c r="O265" s="41"/>
      <c r="P265" s="41"/>
    </row>
    <row r="266" spans="5:16" x14ac:dyDescent="0.35">
      <c r="E266" s="41"/>
      <c r="F266" s="219"/>
      <c r="G266" s="219"/>
      <c r="H266" s="219"/>
      <c r="I266" s="219"/>
      <c r="J266" s="219"/>
      <c r="K266" s="219"/>
      <c r="L266" s="41"/>
      <c r="M266" s="41"/>
      <c r="N266" s="41"/>
      <c r="O266" s="41"/>
      <c r="P266" s="41"/>
    </row>
    <row r="267" spans="5:16" x14ac:dyDescent="0.35">
      <c r="E267" s="41"/>
      <c r="F267" s="219"/>
      <c r="G267" s="219"/>
      <c r="H267" s="219"/>
      <c r="I267" s="219"/>
      <c r="J267" s="219"/>
      <c r="K267" s="219"/>
      <c r="L267" s="41"/>
      <c r="M267" s="41"/>
      <c r="N267" s="41"/>
      <c r="O267" s="41"/>
      <c r="P267" s="41"/>
    </row>
    <row r="268" spans="5:16" x14ac:dyDescent="0.35">
      <c r="E268" s="41"/>
      <c r="F268" s="219"/>
      <c r="G268" s="219"/>
      <c r="H268" s="219"/>
      <c r="I268" s="219"/>
      <c r="J268" s="219"/>
      <c r="K268" s="219"/>
      <c r="L268" s="41"/>
      <c r="M268" s="41"/>
      <c r="N268" s="41"/>
      <c r="O268" s="41"/>
      <c r="P268" s="41"/>
    </row>
    <row r="269" spans="5:16" x14ac:dyDescent="0.35">
      <c r="E269" s="41"/>
      <c r="F269" s="219"/>
      <c r="G269" s="219"/>
      <c r="H269" s="219"/>
      <c r="I269" s="219"/>
      <c r="J269" s="219"/>
      <c r="K269" s="219"/>
      <c r="L269" s="41"/>
      <c r="M269" s="41"/>
      <c r="N269" s="41"/>
      <c r="O269" s="41"/>
      <c r="P269" s="41"/>
    </row>
    <row r="270" spans="5:16" x14ac:dyDescent="0.35">
      <c r="E270" s="41"/>
      <c r="F270" s="219"/>
      <c r="G270" s="219"/>
      <c r="H270" s="219"/>
      <c r="I270" s="219"/>
      <c r="J270" s="219"/>
      <c r="K270" s="219"/>
      <c r="L270" s="41"/>
      <c r="M270" s="41"/>
      <c r="N270" s="41"/>
      <c r="O270" s="41"/>
      <c r="P270" s="41"/>
    </row>
    <row r="271" spans="5:16" x14ac:dyDescent="0.35">
      <c r="E271" s="41"/>
      <c r="F271" s="219"/>
      <c r="G271" s="219"/>
      <c r="H271" s="219"/>
      <c r="I271" s="219"/>
      <c r="J271" s="219"/>
      <c r="K271" s="219"/>
      <c r="L271" s="41"/>
      <c r="M271" s="41"/>
      <c r="N271" s="41"/>
      <c r="O271" s="41"/>
      <c r="P271" s="41"/>
    </row>
    <row r="272" spans="5:16" x14ac:dyDescent="0.35">
      <c r="E272" s="41"/>
      <c r="F272" s="219"/>
      <c r="G272" s="219"/>
      <c r="H272" s="219"/>
      <c r="I272" s="219"/>
      <c r="J272" s="219"/>
      <c r="K272" s="219"/>
      <c r="L272" s="41"/>
      <c r="M272" s="41"/>
      <c r="N272" s="41"/>
      <c r="O272" s="41"/>
      <c r="P272" s="41"/>
    </row>
    <row r="273" spans="5:16" x14ac:dyDescent="0.35">
      <c r="E273" s="41"/>
      <c r="F273" s="219"/>
      <c r="G273" s="219"/>
      <c r="H273" s="219"/>
      <c r="I273" s="219"/>
      <c r="J273" s="219"/>
      <c r="K273" s="219"/>
      <c r="L273" s="41"/>
      <c r="M273" s="41"/>
      <c r="N273" s="41"/>
      <c r="O273" s="41"/>
      <c r="P273" s="41"/>
    </row>
    <row r="274" spans="5:16" x14ac:dyDescent="0.35">
      <c r="E274" s="41"/>
      <c r="F274" s="219"/>
      <c r="G274" s="219"/>
      <c r="H274" s="219"/>
      <c r="I274" s="219"/>
      <c r="J274" s="219"/>
      <c r="K274" s="219"/>
      <c r="L274" s="41"/>
      <c r="M274" s="41"/>
      <c r="N274" s="41"/>
      <c r="O274" s="41"/>
      <c r="P274" s="41"/>
    </row>
    <row r="275" spans="5:16" x14ac:dyDescent="0.35">
      <c r="E275" s="41"/>
      <c r="F275" s="219"/>
      <c r="G275" s="219"/>
      <c r="H275" s="219"/>
      <c r="I275" s="219"/>
      <c r="J275" s="219"/>
      <c r="K275" s="219"/>
      <c r="L275" s="41"/>
      <c r="M275" s="41"/>
      <c r="N275" s="41"/>
      <c r="O275" s="41"/>
      <c r="P275" s="41"/>
    </row>
    <row r="276" spans="5:16" x14ac:dyDescent="0.35">
      <c r="E276" s="41"/>
      <c r="F276" s="219"/>
      <c r="G276" s="219"/>
      <c r="H276" s="219"/>
      <c r="I276" s="219"/>
      <c r="J276" s="219"/>
      <c r="K276" s="219"/>
      <c r="L276" s="41"/>
      <c r="M276" s="41"/>
      <c r="N276" s="41"/>
      <c r="O276" s="41"/>
      <c r="P276" s="41"/>
    </row>
    <row r="277" spans="5:16" x14ac:dyDescent="0.35">
      <c r="E277" s="41"/>
      <c r="F277" s="219"/>
      <c r="G277" s="219"/>
      <c r="H277" s="219"/>
      <c r="I277" s="219"/>
      <c r="J277" s="219"/>
      <c r="K277" s="219"/>
      <c r="L277" s="41"/>
      <c r="M277" s="41"/>
      <c r="N277" s="41"/>
      <c r="O277" s="41"/>
      <c r="P277" s="41"/>
    </row>
    <row r="278" spans="5:16" x14ac:dyDescent="0.35">
      <c r="E278" s="41"/>
      <c r="F278" s="219"/>
      <c r="G278" s="219"/>
      <c r="H278" s="219"/>
      <c r="I278" s="219"/>
      <c r="J278" s="219"/>
      <c r="K278" s="219"/>
      <c r="L278" s="41"/>
      <c r="M278" s="41"/>
      <c r="N278" s="41"/>
      <c r="O278" s="41"/>
      <c r="P278" s="41"/>
    </row>
    <row r="279" spans="5:16" x14ac:dyDescent="0.35">
      <c r="E279" s="41"/>
      <c r="F279" s="219"/>
      <c r="G279" s="219"/>
      <c r="H279" s="219"/>
      <c r="I279" s="219"/>
      <c r="J279" s="219"/>
      <c r="K279" s="219"/>
      <c r="L279" s="41"/>
      <c r="M279" s="41"/>
      <c r="N279" s="41"/>
      <c r="O279" s="41"/>
      <c r="P279" s="41"/>
    </row>
    <row r="280" spans="5:16" x14ac:dyDescent="0.35">
      <c r="E280" s="41"/>
      <c r="F280" s="219"/>
      <c r="G280" s="219"/>
      <c r="H280" s="219"/>
      <c r="I280" s="219"/>
      <c r="J280" s="219"/>
      <c r="K280" s="219"/>
      <c r="L280" s="41"/>
      <c r="M280" s="41"/>
      <c r="N280" s="41"/>
      <c r="O280" s="41"/>
      <c r="P280" s="41"/>
    </row>
    <row r="281" spans="5:16" x14ac:dyDescent="0.35">
      <c r="E281" s="41"/>
      <c r="F281" s="219"/>
      <c r="G281" s="219"/>
      <c r="H281" s="219"/>
      <c r="I281" s="219"/>
      <c r="J281" s="219"/>
      <c r="K281" s="219"/>
      <c r="L281" s="41"/>
      <c r="M281" s="41"/>
      <c r="N281" s="41"/>
      <c r="O281" s="41"/>
      <c r="P281" s="41"/>
    </row>
    <row r="282" spans="5:16" x14ac:dyDescent="0.35">
      <c r="E282" s="41"/>
      <c r="F282" s="219"/>
      <c r="G282" s="219"/>
      <c r="H282" s="219"/>
      <c r="I282" s="219"/>
      <c r="J282" s="219"/>
      <c r="K282" s="219"/>
      <c r="L282" s="41"/>
      <c r="M282" s="41"/>
      <c r="N282" s="41"/>
      <c r="O282" s="41"/>
      <c r="P282" s="41"/>
    </row>
    <row r="283" spans="5:16" x14ac:dyDescent="0.35">
      <c r="E283" s="41"/>
      <c r="F283" s="219"/>
      <c r="G283" s="219"/>
      <c r="H283" s="219"/>
      <c r="I283" s="219"/>
      <c r="J283" s="219"/>
      <c r="K283" s="219"/>
      <c r="L283" s="41"/>
      <c r="M283" s="41"/>
      <c r="N283" s="41"/>
      <c r="O283" s="41"/>
      <c r="P283" s="41"/>
    </row>
    <row r="284" spans="5:16" x14ac:dyDescent="0.35">
      <c r="E284" s="41"/>
      <c r="F284" s="219"/>
      <c r="G284" s="219"/>
      <c r="H284" s="219"/>
      <c r="I284" s="219"/>
      <c r="J284" s="219"/>
      <c r="K284" s="219"/>
      <c r="L284" s="41"/>
      <c r="M284" s="41"/>
      <c r="N284" s="41"/>
      <c r="O284" s="41"/>
      <c r="P284" s="41"/>
    </row>
    <row r="285" spans="5:16" x14ac:dyDescent="0.35">
      <c r="E285" s="41"/>
      <c r="F285" s="219"/>
      <c r="G285" s="219"/>
      <c r="H285" s="219"/>
      <c r="I285" s="219"/>
      <c r="J285" s="219"/>
      <c r="K285" s="219"/>
      <c r="L285" s="41"/>
      <c r="M285" s="41"/>
      <c r="N285" s="41"/>
      <c r="O285" s="41"/>
      <c r="P285" s="41"/>
    </row>
    <row r="286" spans="5:16" x14ac:dyDescent="0.35">
      <c r="E286" s="41"/>
      <c r="F286" s="219"/>
      <c r="G286" s="219"/>
      <c r="H286" s="219"/>
      <c r="I286" s="219"/>
      <c r="J286" s="219"/>
      <c r="K286" s="219"/>
      <c r="L286" s="41"/>
      <c r="M286" s="41"/>
      <c r="N286" s="41"/>
      <c r="O286" s="41"/>
      <c r="P286" s="41"/>
    </row>
    <row r="287" spans="5:16" x14ac:dyDescent="0.35">
      <c r="E287" s="41"/>
      <c r="F287" s="219"/>
      <c r="G287" s="219"/>
      <c r="H287" s="219"/>
      <c r="I287" s="219"/>
      <c r="J287" s="219"/>
      <c r="K287" s="219"/>
      <c r="L287" s="41"/>
      <c r="M287" s="41"/>
      <c r="N287" s="41"/>
      <c r="O287" s="41"/>
      <c r="P287" s="41"/>
    </row>
    <row r="288" spans="5:16" x14ac:dyDescent="0.35">
      <c r="E288" s="41"/>
      <c r="F288" s="219"/>
      <c r="G288" s="219"/>
      <c r="H288" s="219"/>
      <c r="I288" s="219"/>
      <c r="J288" s="219"/>
      <c r="K288" s="219"/>
      <c r="L288" s="41"/>
      <c r="M288" s="41"/>
      <c r="N288" s="41"/>
      <c r="O288" s="41"/>
      <c r="P288" s="41"/>
    </row>
    <row r="289" spans="5:16" x14ac:dyDescent="0.35">
      <c r="E289" s="41"/>
      <c r="F289" s="219"/>
      <c r="G289" s="219"/>
      <c r="H289" s="219"/>
      <c r="I289" s="219"/>
      <c r="J289" s="219"/>
      <c r="K289" s="219"/>
      <c r="L289" s="41"/>
      <c r="M289" s="41"/>
      <c r="N289" s="41"/>
      <c r="O289" s="41"/>
      <c r="P289" s="41"/>
    </row>
    <row r="290" spans="5:16" x14ac:dyDescent="0.35">
      <c r="E290" s="41"/>
      <c r="F290" s="219"/>
      <c r="G290" s="219"/>
      <c r="H290" s="219"/>
      <c r="I290" s="219"/>
      <c r="J290" s="219"/>
      <c r="K290" s="219"/>
      <c r="L290" s="41"/>
      <c r="M290" s="41"/>
      <c r="N290" s="41"/>
      <c r="O290" s="41"/>
      <c r="P290" s="41"/>
    </row>
    <row r="291" spans="5:16" x14ac:dyDescent="0.35">
      <c r="E291" s="41"/>
      <c r="F291" s="219"/>
      <c r="G291" s="219"/>
      <c r="H291" s="219"/>
      <c r="I291" s="219"/>
      <c r="J291" s="219"/>
      <c r="K291" s="219"/>
      <c r="L291" s="41"/>
      <c r="M291" s="41"/>
      <c r="N291" s="41"/>
      <c r="O291" s="41"/>
      <c r="P291" s="41"/>
    </row>
    <row r="292" spans="5:16" x14ac:dyDescent="0.35">
      <c r="E292" s="41"/>
      <c r="F292" s="219"/>
      <c r="G292" s="219"/>
      <c r="H292" s="219"/>
      <c r="I292" s="219"/>
      <c r="J292" s="219"/>
      <c r="K292" s="219"/>
      <c r="L292" s="41"/>
      <c r="M292" s="41"/>
      <c r="N292" s="41"/>
      <c r="O292" s="41"/>
      <c r="P292" s="41"/>
    </row>
    <row r="293" spans="5:16" x14ac:dyDescent="0.35">
      <c r="E293" s="41"/>
      <c r="F293" s="219"/>
      <c r="G293" s="219"/>
      <c r="H293" s="219"/>
      <c r="I293" s="219"/>
      <c r="J293" s="219"/>
      <c r="K293" s="219"/>
      <c r="L293" s="41"/>
      <c r="M293" s="41"/>
      <c r="N293" s="41"/>
      <c r="O293" s="41"/>
      <c r="P293" s="41"/>
    </row>
    <row r="294" spans="5:16" x14ac:dyDescent="0.35">
      <c r="E294" s="41"/>
      <c r="F294" s="219"/>
      <c r="G294" s="219"/>
      <c r="H294" s="219"/>
      <c r="I294" s="219"/>
      <c r="J294" s="219"/>
      <c r="K294" s="219"/>
      <c r="L294" s="41"/>
      <c r="M294" s="41"/>
      <c r="N294" s="41"/>
      <c r="O294" s="41"/>
      <c r="P294" s="41"/>
    </row>
    <row r="295" spans="5:16" x14ac:dyDescent="0.35">
      <c r="E295" s="41"/>
      <c r="F295" s="219"/>
      <c r="G295" s="219"/>
      <c r="H295" s="219"/>
      <c r="I295" s="219"/>
      <c r="J295" s="219"/>
      <c r="K295" s="219"/>
      <c r="L295" s="41"/>
      <c r="M295" s="41"/>
      <c r="N295" s="41"/>
      <c r="O295" s="41"/>
      <c r="P295" s="41"/>
    </row>
    <row r="296" spans="5:16" x14ac:dyDescent="0.35">
      <c r="E296" s="41"/>
      <c r="F296" s="219"/>
      <c r="G296" s="219"/>
      <c r="H296" s="219"/>
      <c r="I296" s="219"/>
      <c r="J296" s="219"/>
      <c r="K296" s="219"/>
      <c r="L296" s="41"/>
      <c r="M296" s="41"/>
      <c r="N296" s="41"/>
      <c r="O296" s="41"/>
      <c r="P296" s="41"/>
    </row>
    <row r="297" spans="5:16" x14ac:dyDescent="0.35">
      <c r="E297" s="41"/>
      <c r="F297" s="219"/>
      <c r="G297" s="219"/>
      <c r="H297" s="219"/>
      <c r="I297" s="219"/>
      <c r="J297" s="219"/>
      <c r="K297" s="219"/>
      <c r="L297" s="41"/>
      <c r="M297" s="41"/>
      <c r="N297" s="41"/>
      <c r="O297" s="41"/>
      <c r="P297" s="41"/>
    </row>
    <row r="298" spans="5:16" x14ac:dyDescent="0.35">
      <c r="E298" s="219"/>
      <c r="F298" s="219"/>
      <c r="G298" s="219"/>
      <c r="H298" s="219"/>
      <c r="I298" s="219"/>
      <c r="J298" s="219"/>
      <c r="K298" s="219"/>
      <c r="L298" s="41"/>
      <c r="M298" s="41"/>
      <c r="N298" s="41"/>
      <c r="O298" s="41"/>
      <c r="P298" s="41"/>
    </row>
    <row r="299" spans="5:16" x14ac:dyDescent="0.35">
      <c r="E299" s="219"/>
      <c r="F299" s="219"/>
      <c r="G299" s="219"/>
      <c r="H299" s="219"/>
      <c r="I299" s="219"/>
      <c r="J299" s="219"/>
      <c r="K299" s="219"/>
      <c r="L299" s="41"/>
      <c r="M299" s="41"/>
      <c r="N299" s="41"/>
      <c r="O299" s="41"/>
      <c r="P299" s="41"/>
    </row>
    <row r="300" spans="5:16" x14ac:dyDescent="0.35">
      <c r="E300" s="219"/>
      <c r="F300" s="219"/>
      <c r="G300" s="219"/>
      <c r="H300" s="219"/>
      <c r="I300" s="219"/>
      <c r="J300" s="219"/>
      <c r="K300" s="219"/>
      <c r="L300" s="41"/>
      <c r="M300" s="41"/>
      <c r="N300" s="41"/>
      <c r="O300" s="41"/>
      <c r="P300" s="41"/>
    </row>
    <row r="301" spans="5:16" x14ac:dyDescent="0.35">
      <c r="E301" s="219"/>
      <c r="F301" s="219"/>
      <c r="G301" s="219"/>
      <c r="H301" s="219"/>
      <c r="I301" s="219"/>
      <c r="J301" s="219"/>
      <c r="K301" s="219"/>
      <c r="L301" s="41"/>
      <c r="M301" s="41"/>
      <c r="N301" s="41"/>
      <c r="O301" s="41"/>
      <c r="P301" s="41"/>
    </row>
    <row r="302" spans="5:16" x14ac:dyDescent="0.35">
      <c r="E302" s="219"/>
      <c r="F302" s="219"/>
      <c r="G302" s="219"/>
      <c r="H302" s="219"/>
      <c r="I302" s="219"/>
      <c r="J302" s="219"/>
      <c r="K302" s="219"/>
      <c r="L302" s="41"/>
      <c r="M302" s="41"/>
      <c r="N302" s="41"/>
      <c r="O302" s="41"/>
      <c r="P302" s="41"/>
    </row>
    <row r="303" spans="5:16" x14ac:dyDescent="0.35">
      <c r="E303" s="219"/>
      <c r="F303" s="219"/>
      <c r="G303" s="219"/>
      <c r="H303" s="219"/>
      <c r="I303" s="219"/>
      <c r="J303" s="219"/>
      <c r="K303" s="219"/>
      <c r="L303" s="41"/>
      <c r="M303" s="41"/>
      <c r="N303" s="41"/>
      <c r="O303" s="41"/>
      <c r="P303" s="41"/>
    </row>
    <row r="304" spans="5:16" x14ac:dyDescent="0.35">
      <c r="E304" s="219"/>
      <c r="F304" s="219"/>
      <c r="G304" s="219"/>
      <c r="H304" s="219"/>
      <c r="I304" s="219"/>
      <c r="J304" s="219"/>
      <c r="K304" s="219"/>
      <c r="L304" s="41"/>
      <c r="M304" s="41"/>
      <c r="N304" s="41"/>
      <c r="O304" s="41"/>
      <c r="P304" s="41"/>
    </row>
    <row r="305" spans="12:16" x14ac:dyDescent="0.35">
      <c r="L305" s="41"/>
      <c r="M305" s="41"/>
      <c r="N305" s="41"/>
      <c r="O305" s="41"/>
      <c r="P305" s="41"/>
    </row>
  </sheetData>
  <sheetProtection algorithmName="SHA-512" hashValue="LfHTDYhv7r41IMbyIdvcxglsePUBn7UrKqcnb049eonGu17KknQ5ht9UpiB1Sx5siCVG4F/rBiQ6Ndi9BHmLpA==" saltValue="kNlReT4xzA+nmY970OW2mg==" spinCount="100000" sheet="1" objects="1" scenarios="1"/>
  <customSheetViews>
    <customSheetView guid="{DC156EF3-60B9-4D72-83CB-66DF98F35EAF}" scale="78" showGridLines="0" fitToPage="1" topLeftCell="A8">
      <selection activeCell="R20" sqref="R20"/>
      <pageMargins left="0.23622047244094491" right="0.23622047244094491" top="0.74803149606299213" bottom="0.39370078740157483" header="0.27559055118110237" footer="0.31496062992125984"/>
      <printOptions horizontalCentered="1"/>
      <pageSetup paperSize="9" scale="59" fitToHeight="0" orientation="landscape" r:id="rId1"/>
    </customSheetView>
  </customSheetViews>
  <mergeCells count="12">
    <mergeCell ref="B1:P1"/>
    <mergeCell ref="B2:P2"/>
    <mergeCell ref="B3:P3"/>
    <mergeCell ref="B4:P4"/>
    <mergeCell ref="T12:U12"/>
    <mergeCell ref="L12:P12"/>
    <mergeCell ref="R12:S12"/>
    <mergeCell ref="B6:C6"/>
    <mergeCell ref="E10:J10"/>
    <mergeCell ref="E8:J9"/>
    <mergeCell ref="B12:C12"/>
    <mergeCell ref="E12:J12"/>
  </mergeCells>
  <conditionalFormatting sqref="B12:C12">
    <cfRule type="expression" dxfId="13" priority="6">
      <formula>AND($B$6&lt;&gt;"O&amp;F Level 1",$B$6&lt;&gt;"O&amp;F Level 2")</formula>
    </cfRule>
  </conditionalFormatting>
  <conditionalFormatting sqref="B14:C61 E14:J61 L14:P61">
    <cfRule type="expression" dxfId="12" priority="2">
      <formula>AND($B14&lt;&gt;"",$B15="")</formula>
    </cfRule>
  </conditionalFormatting>
  <conditionalFormatting sqref="B14:P61 E176:E297 L176:P305">
    <cfRule type="containsBlanks" priority="5" stopIfTrue="1">
      <formula>LEN(TRIM(B14))=0</formula>
    </cfRule>
  </conditionalFormatting>
  <conditionalFormatting sqref="B14:P61">
    <cfRule type="expression" dxfId="11" priority="1">
      <formula>$B14&lt;&gt;""</formula>
    </cfRule>
  </conditionalFormatting>
  <conditionalFormatting sqref="E10:J10">
    <cfRule type="expression" dxfId="9" priority="7">
      <formula>$E$10&lt;&gt;""</formula>
    </cfRule>
  </conditionalFormatting>
  <conditionalFormatting sqref="R12:U12">
    <cfRule type="expression" dxfId="8" priority="39">
      <formula>$R$13&lt;&gt;""</formula>
    </cfRule>
  </conditionalFormatting>
  <conditionalFormatting sqref="R13:U13">
    <cfRule type="expression" dxfId="7" priority="42">
      <formula>$R$13&lt;&gt;""</formula>
    </cfRule>
  </conditionalFormatting>
  <conditionalFormatting sqref="R14:U61">
    <cfRule type="expression" dxfId="6" priority="3">
      <formula>AND($B14&lt;&gt;"",$R14&lt;&gt;"")</formula>
    </cfRule>
    <cfRule type="expression" dxfId="5" priority="4">
      <formula>AND($B14&lt;&gt;"",$R14&lt;&gt;"",$B15="")</formula>
    </cfRule>
  </conditionalFormatting>
  <dataValidations count="4">
    <dataValidation type="list" showInputMessage="1" showErrorMessage="1" sqref="B6:C6" xr:uid="{00000000-0002-0000-0000-000000000000}">
      <formula1>LIST</formula1>
    </dataValidation>
    <dataValidation type="decimal" allowBlank="1" showInputMessage="1" showErrorMessage="1" sqref="C10:C11" xr:uid="{19A81404-F11F-4869-AAE6-8DE362CB5BCA}">
      <formula1>0</formula1>
      <formula2>75</formula2>
    </dataValidation>
    <dataValidation type="decimal" allowBlank="1" showInputMessage="1" showErrorMessage="1" errorTitle="Calculation error" error="The employee's contracted hours must not be higher than the standard full-time hours for the role." sqref="C8" xr:uid="{4B8F301B-F345-4F75-AFEF-B94A89CFE51B}">
      <formula1>0</formula1>
      <formula2>C9</formula2>
    </dataValidation>
    <dataValidation type="decimal" allowBlank="1" showInputMessage="1" showErrorMessage="1" error="The standard full-time working hours for the role must not be lower than the employee's contracted hours." sqref="C9" xr:uid="{828776B9-4C7C-4D50-B421-F4BB92FA0E96}">
      <formula1>$C$8</formula1>
      <formula2>75</formula2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59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B5B06B3-D9FA-4CC9-92C4-BB3B587251A8}">
            <xm:f>$B14=Thresholds_Rates!$C$12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B14:P61</xm:sqref>
        </x14:conditionalFormatting>
        <x14:conditionalFormatting xmlns:xm="http://schemas.microsoft.com/office/excel/2006/main">
          <x14:cfRule type="expression" priority="52" id="{ABE4A44D-BD52-4335-A3FD-5FCEE129207B}">
            <xm:f>AND($B14=Thresholds_Rates!$C$12,$R$13&lt;&gt;"")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R14:U61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23B0-F6E2-4E91-A5C1-5BD7A1620A2C}">
  <sheetPr codeName="Sheet11">
    <tabColor theme="4" tint="0.59999389629810485"/>
    <pageSetUpPr fitToPage="1"/>
  </sheetPr>
  <dimension ref="A1:AE10"/>
  <sheetViews>
    <sheetView showGridLines="0" zoomScale="75" zoomScaleNormal="75" zoomScaleSheetLayoutView="85" zoomScalePageLayoutView="55" workbookViewId="0">
      <selection activeCell="F14" sqref="F14"/>
    </sheetView>
  </sheetViews>
  <sheetFormatPr defaultColWidth="9.1796875" defaultRowHeight="17.5" x14ac:dyDescent="0.35"/>
  <cols>
    <col min="1" max="1" width="2.1796875" style="25" customWidth="1"/>
    <col min="2" max="2" width="36.26953125" style="25" customWidth="1"/>
    <col min="3" max="3" width="24.26953125" style="25" customWidth="1"/>
    <col min="4" max="4" width="3.7265625" style="25" customWidth="1"/>
    <col min="5" max="8" width="15.54296875" style="25" customWidth="1"/>
    <col min="9" max="9" width="21.26953125" style="25" customWidth="1"/>
    <col min="10" max="10" width="15.54296875" style="25" customWidth="1"/>
    <col min="11" max="11" width="4.81640625" style="25" customWidth="1"/>
    <col min="12" max="15" width="13.1796875" style="25" customWidth="1"/>
    <col min="16" max="16" width="19.1796875" style="25" customWidth="1"/>
    <col min="17" max="17" width="5.453125" style="25" customWidth="1"/>
    <col min="18" max="19" width="15.7265625" style="36" customWidth="1"/>
    <col min="20" max="20" width="21" style="36" customWidth="1"/>
    <col min="21" max="21" width="26.26953125" style="36" customWidth="1"/>
    <col min="22" max="24" width="9.1796875" style="104" customWidth="1"/>
    <col min="25" max="30" width="6.1796875" style="104" customWidth="1"/>
    <col min="31" max="39" width="9.1796875" style="104" customWidth="1"/>
    <col min="40" max="16384" width="9.1796875" style="104"/>
  </cols>
  <sheetData>
    <row r="1" spans="2:31" ht="37.5" customHeight="1" x14ac:dyDescent="0.35">
      <c r="B1" s="420" t="s">
        <v>13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219"/>
      <c r="R1" s="106"/>
      <c r="S1" s="107"/>
      <c r="T1" s="106"/>
      <c r="U1" s="107"/>
    </row>
    <row r="2" spans="2:31" ht="35.15" customHeight="1" x14ac:dyDescent="0.4">
      <c r="B2" s="422" t="str">
        <f>_xlfn.CONCAT("National Insurance: ",TEXT('Contents &amp; version control'!$D$26,"YYYY"),"-",YEAR('Contents &amp; version control'!$D$26)+1," tax year")</f>
        <v>National Insurance: 2024-2025 tax year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219"/>
      <c r="R2" s="106"/>
      <c r="S2" s="107"/>
      <c r="T2" s="106"/>
      <c r="U2" s="107"/>
    </row>
    <row r="3" spans="2:31" ht="35.15" customHeight="1" x14ac:dyDescent="0.4">
      <c r="B3" s="422" t="str">
        <f>"Document version: "&amp;'Contents &amp; version control'!$B$18</f>
        <v>Document version: 2024.4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219"/>
      <c r="R3" s="106"/>
      <c r="S3" s="107"/>
      <c r="T3" s="106"/>
      <c r="U3" s="107"/>
    </row>
    <row r="4" spans="2:31" x14ac:dyDescent="0.35">
      <c r="B4" s="121"/>
      <c r="C4" s="206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102"/>
      <c r="S4" s="102"/>
      <c r="T4" s="102"/>
      <c r="U4" s="102"/>
    </row>
    <row r="5" spans="2:31" ht="60" customHeight="1" x14ac:dyDescent="0.35">
      <c r="B5" s="38"/>
      <c r="C5" s="37"/>
      <c r="D5" s="37"/>
      <c r="E5" s="428" t="s">
        <v>169</v>
      </c>
      <c r="F5" s="429"/>
      <c r="G5" s="429"/>
      <c r="H5" s="429"/>
      <c r="I5" s="429"/>
      <c r="J5" s="430"/>
      <c r="K5" s="37"/>
      <c r="L5" s="219"/>
      <c r="M5" s="219"/>
      <c r="N5" s="219"/>
      <c r="O5" s="219"/>
      <c r="P5" s="219"/>
      <c r="Q5" s="219"/>
      <c r="R5" s="102"/>
      <c r="S5" s="102"/>
      <c r="T5" s="102"/>
      <c r="U5" s="102"/>
      <c r="AE5" s="108"/>
    </row>
    <row r="6" spans="2:31" ht="60" customHeight="1" x14ac:dyDescent="0.35">
      <c r="B6" s="38"/>
      <c r="C6" s="37"/>
      <c r="D6" s="37"/>
      <c r="E6" s="439"/>
      <c r="F6" s="440"/>
      <c r="G6" s="440"/>
      <c r="H6" s="440"/>
      <c r="I6" s="440"/>
      <c r="J6" s="441"/>
      <c r="K6" s="37"/>
      <c r="L6" s="219"/>
      <c r="M6" s="219"/>
      <c r="N6" s="219"/>
      <c r="O6" s="219"/>
      <c r="P6" s="219"/>
      <c r="Q6" s="219"/>
      <c r="R6" s="102"/>
      <c r="S6" s="102"/>
      <c r="T6" s="102"/>
      <c r="U6" s="102"/>
      <c r="AE6" s="108"/>
    </row>
    <row r="7" spans="2:31" s="10" customFormat="1" ht="14.5" x14ac:dyDescent="0.35"/>
    <row r="8" spans="2:31" ht="50.15" customHeight="1" x14ac:dyDescent="0.35">
      <c r="B8" s="169"/>
      <c r="C8" s="169"/>
      <c r="D8" s="219"/>
      <c r="E8" s="436" t="s">
        <v>172</v>
      </c>
      <c r="F8" s="437"/>
      <c r="G8" s="437"/>
      <c r="H8" s="437"/>
      <c r="I8" s="437"/>
      <c r="J8" s="438"/>
      <c r="K8" s="219"/>
      <c r="L8" s="424" t="s">
        <v>173</v>
      </c>
      <c r="M8" s="424"/>
      <c r="N8" s="424"/>
      <c r="O8" s="424"/>
      <c r="P8" s="424"/>
      <c r="Q8" s="219"/>
      <c r="R8" s="423"/>
      <c r="S8" s="423"/>
      <c r="T8" s="423"/>
      <c r="U8" s="423"/>
      <c r="AE8" s="108"/>
    </row>
    <row r="9" spans="2:31" ht="57" customHeight="1" x14ac:dyDescent="0.35">
      <c r="B9" s="170"/>
      <c r="C9" s="169"/>
      <c r="D9" s="39"/>
      <c r="E9" s="164" t="s">
        <v>175</v>
      </c>
      <c r="F9" s="164" t="s">
        <v>176</v>
      </c>
      <c r="G9" s="164" t="s">
        <v>177</v>
      </c>
      <c r="H9" s="40" t="s">
        <v>178</v>
      </c>
      <c r="I9" s="40" t="s">
        <v>179</v>
      </c>
      <c r="J9" s="164" t="s">
        <v>180</v>
      </c>
      <c r="K9" s="37"/>
      <c r="L9" s="164" t="s">
        <v>181</v>
      </c>
      <c r="M9" s="164" t="s">
        <v>182</v>
      </c>
      <c r="N9" s="164" t="s">
        <v>183</v>
      </c>
      <c r="O9" s="164" t="s">
        <v>184</v>
      </c>
      <c r="P9" s="164" t="s">
        <v>185</v>
      </c>
      <c r="Q9" s="219"/>
      <c r="R9" s="105"/>
      <c r="S9" s="105"/>
      <c r="T9" s="105"/>
      <c r="U9" s="105"/>
      <c r="V9" s="32"/>
    </row>
    <row r="10" spans="2:31" ht="95.25" customHeight="1" x14ac:dyDescent="0.35">
      <c r="B10" s="168" t="s">
        <v>186</v>
      </c>
      <c r="C10" s="172">
        <v>45000</v>
      </c>
      <c r="D10" s="145"/>
      <c r="E10" s="171">
        <f>$C10*Thresholds_Rates!$F$12</f>
        <v>6525</v>
      </c>
      <c r="F10" s="171">
        <f>$C10*Thresholds_Rates!$F$13</f>
        <v>10665</v>
      </c>
      <c r="G10" s="171">
        <f>$C10*Thresholds_Rates!$F$14</f>
        <v>13770</v>
      </c>
      <c r="H10" s="171">
        <f>IF($B10="","",IF(($C10-(Thresholds_Rates!$C$4*12))&lt;0,0,ROUND(($C10-(Thresholds_Rates!$C$4*12))*Thresholds_Rates!$C$7,0)))</f>
        <v>4955</v>
      </c>
      <c r="I10" s="171">
        <f>IF(B10="","",(C10*Thresholds_Rates!$C$9))</f>
        <v>225</v>
      </c>
      <c r="J10" s="171">
        <f>$C10*Thresholds_Rates!$F$15</f>
        <v>6300.0000000000009</v>
      </c>
      <c r="K10" s="145"/>
      <c r="L10" s="171">
        <f t="shared" ref="L10" si="0">IF(B10="","",IF(E10="-","-",$C10+$H10+E10+I10))</f>
        <v>56705</v>
      </c>
      <c r="M10" s="171">
        <f t="shared" ref="M10" si="1">IF(B10="","",IF(F10="-","-",$C10+$H10+F10+I10))</f>
        <v>60845</v>
      </c>
      <c r="N10" s="171">
        <f t="shared" ref="N10" si="2">IF(B10="","",IF(G10="-","-",$C10+$H10+G10+I10))</f>
        <v>63950</v>
      </c>
      <c r="O10" s="171">
        <f t="shared" ref="O10" si="3">IF(B10="","",IF(J10="-","-",$C10+$H10+J10+I10))</f>
        <v>56480</v>
      </c>
      <c r="P10" s="171">
        <f t="shared" ref="P10" si="4">IF(B10="","",C10+H10+I10)</f>
        <v>50180</v>
      </c>
      <c r="Q10" s="36"/>
      <c r="R10" s="106"/>
      <c r="S10" s="107"/>
      <c r="T10" s="106"/>
      <c r="U10" s="107"/>
    </row>
  </sheetData>
  <sheetProtection algorithmName="SHA-512" hashValue="ccZjVuRAaDmvqkskAJHhF7b6dwGuD+YvA3Wy7c+eZdC+sRlw5N3YKiFh4okkfWdZMJmsgKvkmHfxRFQ2LdvTAw==" saltValue="wGNM7cYebNPVGcW+QcaYVA==" spinCount="100000" sheet="1" objects="1" scenarios="1"/>
  <customSheetViews>
    <customSheetView guid="{DC156EF3-60B9-4D72-83CB-66DF98F35EAF}" showGridLines="0" fitToPage="1" topLeftCell="A23">
      <selection activeCell="M10" sqref="M10"/>
      <pageMargins left="0.23622047244094491" right="0.23622047244094491" top="0.74803149606299213" bottom="0.39370078740157483" header="0.27559055118110237" footer="0.31496062992125984"/>
      <printOptions horizontalCentered="1"/>
      <pageSetup paperSize="9" scale="54" fitToHeight="0" orientation="landscape" r:id="rId1"/>
    </customSheetView>
  </customSheetViews>
  <mergeCells count="8">
    <mergeCell ref="E8:J8"/>
    <mergeCell ref="L8:P8"/>
    <mergeCell ref="R8:S8"/>
    <mergeCell ref="T8:U8"/>
    <mergeCell ref="B1:P1"/>
    <mergeCell ref="B2:P2"/>
    <mergeCell ref="B3:P3"/>
    <mergeCell ref="E5:J6"/>
  </mergeCells>
  <conditionalFormatting sqref="C10:P10">
    <cfRule type="containsBlanks" priority="1" stopIfTrue="1">
      <formula>LEN(TRIM(C10))=0</formula>
    </cfRule>
  </conditionalFormatting>
  <conditionalFormatting sqref="R8:U8">
    <cfRule type="expression" dxfId="1" priority="5">
      <formula>$R$9&lt;&gt;""</formula>
    </cfRule>
  </conditionalFormatting>
  <conditionalFormatting sqref="R9:U9">
    <cfRule type="expression" dxfId="0" priority="6">
      <formula>$R$9&lt;&gt;""</formula>
    </cfRule>
  </conditionalFormatting>
  <dataValidations count="1">
    <dataValidation type="decimal" allowBlank="1" showInputMessage="1" showErrorMessage="1" sqref="C7" xr:uid="{2B1B07E3-21C6-4F17-AF74-3C08C0420B38}">
      <formula1>0</formula1>
      <formula2>75</formula2>
    </dataValidation>
  </dataValidations>
  <printOptions horizontalCentered="1"/>
  <pageMargins left="0.23622047244094491" right="0.23622047244094491" top="0.74803149606299213" bottom="0.39370078740157483" header="0.27559055118110237" footer="0.31496062992125984"/>
  <pageSetup paperSize="9" scale="54" fitToHeight="0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3C1E4A4-BECA-4E95-83CB-210B85666992}">
            <xm:f>$B10=Thresholds_Rates!$C$12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C10:P10</xm:sqref>
        </x14:conditionalFormatting>
        <x14:conditionalFormatting xmlns:xm="http://schemas.microsoft.com/office/excel/2006/main">
          <x14:cfRule type="expression" priority="8" id="{CADBC09A-E654-4E6D-B5DD-36E217815611}">
            <xm:f>AND($B10=Thresholds_Rates!$C$12,$R$9&lt;&gt;"")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m:sqref>Q10:U10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3"/>
  </sheetPr>
  <dimension ref="A1:CB55"/>
  <sheetViews>
    <sheetView topLeftCell="A19" zoomScale="115" zoomScaleNormal="115" workbookViewId="0">
      <pane xSplit="1" topLeftCell="C1" activePane="topRight" state="frozen"/>
      <selection activeCell="F19" sqref="F19"/>
      <selection pane="topRight" activeCell="E31" sqref="E31"/>
    </sheetView>
  </sheetViews>
  <sheetFormatPr defaultColWidth="9.1796875" defaultRowHeight="14.5" x14ac:dyDescent="0.35"/>
  <cols>
    <col min="1" max="1" width="75.7265625" style="10" bestFit="1" customWidth="1"/>
    <col min="2" max="2" width="22.81640625" style="10" customWidth="1"/>
    <col min="3" max="4" width="14.81640625" style="10" customWidth="1"/>
    <col min="5" max="5" width="22.7265625" style="10" customWidth="1"/>
    <col min="6" max="6" width="15.7265625" style="10" customWidth="1"/>
    <col min="7" max="24" width="9.1796875" style="10" customWidth="1"/>
    <col min="25" max="25" width="10.81640625" style="10" bestFit="1" customWidth="1"/>
    <col min="26" max="26" width="12.1796875" style="10" bestFit="1" customWidth="1"/>
    <col min="27" max="27" width="9.1796875" style="10" customWidth="1"/>
    <col min="28" max="63" width="9.1796875" style="10"/>
    <col min="64" max="64" width="10" style="10" customWidth="1"/>
    <col min="65" max="66" width="11.7265625" style="10" customWidth="1"/>
    <col min="67" max="67" width="17.1796875" style="10" customWidth="1"/>
    <col min="68" max="68" width="20.81640625" style="10" bestFit="1" customWidth="1"/>
    <col min="69" max="76" width="9.1796875" style="10"/>
    <col min="77" max="77" width="49" style="10" customWidth="1"/>
    <col min="78" max="78" width="57.453125" style="10" customWidth="1"/>
    <col min="79" max="79" width="9.1796875" style="10"/>
    <col min="80" max="80" width="49.81640625" style="10" customWidth="1"/>
    <col min="81" max="16384" width="9.1796875" style="10"/>
  </cols>
  <sheetData>
    <row r="1" spans="1:80" x14ac:dyDescent="0.35">
      <c r="A1" s="100" t="str">
        <f>"Column reference for VLOOKUPS: "&amp;COLUMN()</f>
        <v>Column reference for VLOOKUPS: 1</v>
      </c>
      <c r="B1" s="100">
        <f>COLUMN()</f>
        <v>2</v>
      </c>
      <c r="C1" s="100">
        <f>COLUMN()</f>
        <v>3</v>
      </c>
      <c r="D1" s="100">
        <f>COLUMN()</f>
        <v>4</v>
      </c>
      <c r="E1" s="100">
        <f>COLUMN()</f>
        <v>5</v>
      </c>
      <c r="F1" s="100">
        <f>COLUMN()</f>
        <v>6</v>
      </c>
      <c r="G1" s="100">
        <f>COLUMN()</f>
        <v>7</v>
      </c>
      <c r="H1" s="100">
        <f>COLUMN()</f>
        <v>8</v>
      </c>
      <c r="I1" s="100">
        <f>COLUMN()</f>
        <v>9</v>
      </c>
      <c r="J1" s="100">
        <f>COLUMN()</f>
        <v>10</v>
      </c>
      <c r="K1" s="100">
        <f>COLUMN()</f>
        <v>11</v>
      </c>
      <c r="L1" s="100">
        <f>COLUMN()</f>
        <v>12</v>
      </c>
      <c r="M1" s="100">
        <f>COLUMN()</f>
        <v>13</v>
      </c>
      <c r="N1" s="100">
        <f>COLUMN()</f>
        <v>14</v>
      </c>
      <c r="O1" s="100">
        <f>COLUMN()</f>
        <v>15</v>
      </c>
      <c r="P1" s="100">
        <f>COLUMN()</f>
        <v>16</v>
      </c>
      <c r="Q1" s="100">
        <f>COLUMN()</f>
        <v>17</v>
      </c>
      <c r="R1" s="100">
        <f>COLUMN()</f>
        <v>18</v>
      </c>
      <c r="S1" s="100">
        <f>COLUMN()</f>
        <v>19</v>
      </c>
      <c r="T1" s="100">
        <f>COLUMN()</f>
        <v>20</v>
      </c>
      <c r="U1" s="100">
        <f>COLUMN()</f>
        <v>21</v>
      </c>
      <c r="V1" s="100">
        <f>COLUMN()</f>
        <v>22</v>
      </c>
      <c r="W1" s="100">
        <f>COLUMN()</f>
        <v>23</v>
      </c>
      <c r="X1" s="100">
        <f>COLUMN()</f>
        <v>24</v>
      </c>
      <c r="Y1" s="100">
        <f>COLUMN()</f>
        <v>25</v>
      </c>
      <c r="Z1" s="100">
        <f>COLUMN()</f>
        <v>26</v>
      </c>
      <c r="AA1" s="100">
        <f>COLUMN()</f>
        <v>27</v>
      </c>
      <c r="AB1" s="100">
        <f>COLUMN()</f>
        <v>28</v>
      </c>
      <c r="AC1" s="100">
        <f>COLUMN()</f>
        <v>29</v>
      </c>
      <c r="AD1" s="100">
        <f>COLUMN()</f>
        <v>30</v>
      </c>
      <c r="AE1" s="100">
        <f>COLUMN()</f>
        <v>31</v>
      </c>
      <c r="AF1" s="100">
        <f>COLUMN()</f>
        <v>32</v>
      </c>
      <c r="AG1" s="100">
        <f>COLUMN()</f>
        <v>33</v>
      </c>
      <c r="AH1" s="100">
        <f>COLUMN()</f>
        <v>34</v>
      </c>
      <c r="AI1" s="100">
        <f>COLUMN()</f>
        <v>35</v>
      </c>
      <c r="AJ1" s="100">
        <f>COLUMN()</f>
        <v>36</v>
      </c>
      <c r="AK1" s="100">
        <f>COLUMN()</f>
        <v>37</v>
      </c>
      <c r="AL1" s="100">
        <f>COLUMN()</f>
        <v>38</v>
      </c>
      <c r="AM1" s="100">
        <f>COLUMN()</f>
        <v>39</v>
      </c>
      <c r="AN1" s="100">
        <f>COLUMN()</f>
        <v>40</v>
      </c>
      <c r="AO1" s="100">
        <f>COLUMN()</f>
        <v>41</v>
      </c>
      <c r="AP1" s="100">
        <f>COLUMN()</f>
        <v>42</v>
      </c>
      <c r="AQ1" s="100">
        <f>COLUMN()</f>
        <v>43</v>
      </c>
      <c r="AR1" s="100">
        <f>COLUMN()</f>
        <v>44</v>
      </c>
      <c r="AS1" s="100">
        <f>COLUMN()</f>
        <v>45</v>
      </c>
      <c r="AT1" s="100">
        <f>COLUMN()</f>
        <v>46</v>
      </c>
      <c r="AU1" s="100">
        <f>COLUMN()</f>
        <v>47</v>
      </c>
      <c r="AV1" s="100">
        <f>COLUMN()</f>
        <v>48</v>
      </c>
      <c r="AW1" s="100">
        <f>COLUMN()</f>
        <v>49</v>
      </c>
      <c r="AX1" s="100">
        <f>COLUMN()</f>
        <v>50</v>
      </c>
      <c r="AY1" s="100">
        <f>COLUMN()</f>
        <v>51</v>
      </c>
      <c r="AZ1" s="100">
        <f>COLUMN()</f>
        <v>52</v>
      </c>
      <c r="BA1" s="100">
        <f>COLUMN()</f>
        <v>53</v>
      </c>
      <c r="BB1" s="100">
        <f>COLUMN()</f>
        <v>54</v>
      </c>
      <c r="BC1" s="100">
        <f>COLUMN()</f>
        <v>55</v>
      </c>
      <c r="BD1" s="100">
        <f>COLUMN()</f>
        <v>56</v>
      </c>
      <c r="BE1" s="100">
        <f>COLUMN()</f>
        <v>57</v>
      </c>
      <c r="BF1" s="100">
        <f>COLUMN()</f>
        <v>58</v>
      </c>
      <c r="BG1" s="100">
        <f>COLUMN()</f>
        <v>59</v>
      </c>
      <c r="BH1" s="100">
        <f>COLUMN()</f>
        <v>60</v>
      </c>
      <c r="BI1" s="100">
        <f>COLUMN()</f>
        <v>61</v>
      </c>
      <c r="BJ1" s="100">
        <f>COLUMN()</f>
        <v>62</v>
      </c>
      <c r="BK1" s="100">
        <f>COLUMN()</f>
        <v>63</v>
      </c>
      <c r="BL1" s="100">
        <f>COLUMN()</f>
        <v>64</v>
      </c>
      <c r="BM1" s="100">
        <f>COLUMN()</f>
        <v>65</v>
      </c>
      <c r="BN1" s="100">
        <f>COLUMN()</f>
        <v>66</v>
      </c>
      <c r="BO1" s="100">
        <f>COLUMN()</f>
        <v>67</v>
      </c>
      <c r="BP1" s="100">
        <f>COLUMN()</f>
        <v>68</v>
      </c>
      <c r="BQ1" s="100">
        <f>COLUMN()</f>
        <v>69</v>
      </c>
      <c r="BR1" s="100">
        <f>COLUMN()</f>
        <v>70</v>
      </c>
      <c r="BS1" s="100">
        <f>COLUMN()</f>
        <v>71</v>
      </c>
      <c r="BT1" s="100">
        <f>COLUMN()</f>
        <v>72</v>
      </c>
      <c r="BU1" s="100">
        <f>COLUMN()</f>
        <v>73</v>
      </c>
      <c r="BV1" s="100">
        <f>COLUMN()</f>
        <v>74</v>
      </c>
      <c r="BW1" s="100">
        <f>COLUMN()</f>
        <v>75</v>
      </c>
      <c r="BX1" s="100">
        <f>COLUMN()</f>
        <v>76</v>
      </c>
      <c r="BY1" s="100">
        <f>COLUMN()</f>
        <v>77</v>
      </c>
      <c r="BZ1" s="100">
        <f>COLUMN()</f>
        <v>78</v>
      </c>
    </row>
    <row r="2" spans="1:80" ht="48" customHeight="1" x14ac:dyDescent="0.3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</row>
    <row r="3" spans="1:80" ht="18" x14ac:dyDescent="0.4">
      <c r="A3" s="89" t="s">
        <v>187</v>
      </c>
      <c r="B3" s="90"/>
      <c r="C3" s="90"/>
      <c r="D3" s="90"/>
      <c r="E3" s="91"/>
      <c r="F3" s="93" t="s">
        <v>188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448" t="s">
        <v>189</v>
      </c>
      <c r="BR3" s="448"/>
      <c r="BS3" s="448"/>
      <c r="BT3" s="448"/>
      <c r="BU3" s="448"/>
      <c r="BV3" s="448"/>
      <c r="BW3" s="448"/>
      <c r="BX3" s="448"/>
      <c r="BY3" s="448"/>
      <c r="BZ3" s="448"/>
    </row>
    <row r="4" spans="1:80" s="64" customFormat="1" ht="28.5" x14ac:dyDescent="0.35">
      <c r="A4" s="232" t="s">
        <v>190</v>
      </c>
      <c r="B4" s="232" t="s">
        <v>190</v>
      </c>
      <c r="C4" s="451" t="s">
        <v>190</v>
      </c>
      <c r="D4" s="452"/>
      <c r="E4" s="232" t="s">
        <v>190</v>
      </c>
      <c r="F4" s="233" t="s">
        <v>191</v>
      </c>
      <c r="G4" s="462" t="s">
        <v>190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3"/>
      <c r="AW4" s="463"/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463"/>
      <c r="BI4" s="463"/>
      <c r="BJ4" s="463"/>
      <c r="BK4" s="464"/>
      <c r="BL4" s="459" t="s">
        <v>190</v>
      </c>
      <c r="BM4" s="460"/>
      <c r="BN4" s="461"/>
      <c r="BO4" s="234" t="s">
        <v>190</v>
      </c>
      <c r="BP4" s="233" t="s">
        <v>190</v>
      </c>
      <c r="BQ4" s="442" t="s">
        <v>190</v>
      </c>
      <c r="BR4" s="443"/>
      <c r="BS4" s="443"/>
      <c r="BT4" s="443"/>
      <c r="BU4" s="442" t="s">
        <v>192</v>
      </c>
      <c r="BV4" s="443"/>
      <c r="BW4" s="443"/>
      <c r="BX4" s="444"/>
      <c r="BY4" s="235" t="s">
        <v>191</v>
      </c>
      <c r="BZ4" s="235" t="s">
        <v>191</v>
      </c>
    </row>
    <row r="5" spans="1:80" s="86" customFormat="1" ht="140" x14ac:dyDescent="0.35">
      <c r="A5" s="236" t="s">
        <v>193</v>
      </c>
      <c r="B5" s="236" t="s">
        <v>194</v>
      </c>
      <c r="C5" s="449" t="s">
        <v>195</v>
      </c>
      <c r="D5" s="450"/>
      <c r="E5" s="236" t="s">
        <v>196</v>
      </c>
      <c r="F5" s="237" t="s">
        <v>197</v>
      </c>
      <c r="G5" s="453" t="s">
        <v>198</v>
      </c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454"/>
      <c r="BK5" s="455"/>
      <c r="BL5" s="456" t="s">
        <v>199</v>
      </c>
      <c r="BM5" s="457"/>
      <c r="BN5" s="458"/>
      <c r="BO5" s="238" t="s">
        <v>200</v>
      </c>
      <c r="BP5" s="237" t="s">
        <v>201</v>
      </c>
      <c r="BQ5" s="445" t="s">
        <v>202</v>
      </c>
      <c r="BR5" s="446"/>
      <c r="BS5" s="446"/>
      <c r="BT5" s="447"/>
      <c r="BU5" s="445" t="s">
        <v>203</v>
      </c>
      <c r="BV5" s="446"/>
      <c r="BW5" s="446"/>
      <c r="BX5" s="447"/>
      <c r="BY5" s="239" t="s">
        <v>204</v>
      </c>
      <c r="BZ5" s="239" t="s">
        <v>205</v>
      </c>
      <c r="CB5" s="64"/>
    </row>
    <row r="6" spans="1:80" s="79" customFormat="1" ht="90" customHeight="1" x14ac:dyDescent="0.35">
      <c r="A6" s="81" t="s">
        <v>187</v>
      </c>
      <c r="B6" s="87" t="s">
        <v>206</v>
      </c>
      <c r="C6" s="88" t="s">
        <v>207</v>
      </c>
      <c r="D6" s="88" t="s">
        <v>208</v>
      </c>
      <c r="E6" s="88" t="s">
        <v>209</v>
      </c>
      <c r="F6" s="80" t="s">
        <v>210</v>
      </c>
      <c r="G6" s="72">
        <v>1</v>
      </c>
      <c r="H6" s="72">
        <v>2</v>
      </c>
      <c r="I6" s="72">
        <v>3</v>
      </c>
      <c r="J6" s="72">
        <v>4</v>
      </c>
      <c r="K6" s="72">
        <v>5</v>
      </c>
      <c r="L6" s="72">
        <v>6</v>
      </c>
      <c r="M6" s="72">
        <v>7</v>
      </c>
      <c r="N6" s="72">
        <v>8</v>
      </c>
      <c r="O6" s="72">
        <v>9</v>
      </c>
      <c r="P6" s="72">
        <v>10</v>
      </c>
      <c r="Q6" s="72">
        <v>11</v>
      </c>
      <c r="R6" s="72">
        <v>12</v>
      </c>
      <c r="S6" s="72">
        <v>13</v>
      </c>
      <c r="T6" s="72">
        <v>14</v>
      </c>
      <c r="U6" s="72">
        <v>15</v>
      </c>
      <c r="V6" s="72">
        <v>16</v>
      </c>
      <c r="W6" s="72">
        <v>17</v>
      </c>
      <c r="X6" s="72">
        <v>18</v>
      </c>
      <c r="Y6" s="72">
        <v>19</v>
      </c>
      <c r="Z6" s="72">
        <v>20</v>
      </c>
      <c r="AA6" s="72">
        <v>21</v>
      </c>
      <c r="AB6" s="72">
        <v>22</v>
      </c>
      <c r="AC6" s="72">
        <v>23</v>
      </c>
      <c r="AD6" s="72">
        <v>24</v>
      </c>
      <c r="AE6" s="72">
        <v>25</v>
      </c>
      <c r="AF6" s="72">
        <v>26</v>
      </c>
      <c r="AG6" s="72">
        <v>27</v>
      </c>
      <c r="AH6" s="72">
        <v>28</v>
      </c>
      <c r="AI6" s="72">
        <v>29</v>
      </c>
      <c r="AJ6" s="72">
        <v>30</v>
      </c>
      <c r="AK6" s="72">
        <v>31</v>
      </c>
      <c r="AL6" s="72">
        <v>32</v>
      </c>
      <c r="AM6" s="72">
        <v>33</v>
      </c>
      <c r="AN6" s="72">
        <v>34</v>
      </c>
      <c r="AO6" s="72">
        <v>35</v>
      </c>
      <c r="AP6" s="72">
        <v>36</v>
      </c>
      <c r="AQ6" s="72">
        <v>37</v>
      </c>
      <c r="AR6" s="72">
        <v>38</v>
      </c>
      <c r="AS6" s="72">
        <v>39</v>
      </c>
      <c r="AT6" s="72">
        <v>40</v>
      </c>
      <c r="AU6" s="72">
        <v>41</v>
      </c>
      <c r="AV6" s="72">
        <v>42</v>
      </c>
      <c r="AW6" s="72">
        <v>43</v>
      </c>
      <c r="AX6" s="72">
        <v>44</v>
      </c>
      <c r="AY6" s="72">
        <v>45</v>
      </c>
      <c r="AZ6" s="72">
        <v>46</v>
      </c>
      <c r="BA6" s="72">
        <v>47</v>
      </c>
      <c r="BB6" s="72">
        <v>48</v>
      </c>
      <c r="BC6" s="72">
        <v>49</v>
      </c>
      <c r="BD6" s="72">
        <v>50</v>
      </c>
      <c r="BE6" s="72">
        <v>51</v>
      </c>
      <c r="BF6" s="72">
        <v>52</v>
      </c>
      <c r="BG6" s="72">
        <v>53</v>
      </c>
      <c r="BH6" s="72">
        <v>54</v>
      </c>
      <c r="BI6" s="72">
        <v>55</v>
      </c>
      <c r="BJ6" s="72">
        <v>56</v>
      </c>
      <c r="BK6" s="72">
        <v>57</v>
      </c>
      <c r="BL6" s="78" t="s">
        <v>211</v>
      </c>
      <c r="BM6" s="78" t="s">
        <v>212</v>
      </c>
      <c r="BN6" s="78" t="s">
        <v>213</v>
      </c>
      <c r="BO6" s="73" t="s">
        <v>214</v>
      </c>
      <c r="BP6" s="73" t="s">
        <v>215</v>
      </c>
      <c r="BQ6" s="82" t="s">
        <v>216</v>
      </c>
      <c r="BR6" s="82" t="s">
        <v>217</v>
      </c>
      <c r="BS6" s="82" t="s">
        <v>218</v>
      </c>
      <c r="BT6" s="82" t="s">
        <v>219</v>
      </c>
      <c r="BU6" s="83" t="s">
        <v>181</v>
      </c>
      <c r="BV6" s="83" t="s">
        <v>182</v>
      </c>
      <c r="BW6" s="83" t="s">
        <v>183</v>
      </c>
      <c r="BX6" s="83" t="s">
        <v>184</v>
      </c>
      <c r="BY6" s="99" t="s">
        <v>220</v>
      </c>
      <c r="BZ6" s="99" t="s">
        <v>221</v>
      </c>
    </row>
    <row r="7" spans="1:80" x14ac:dyDescent="0.35">
      <c r="A7" s="109" t="s">
        <v>222</v>
      </c>
      <c r="B7" s="240">
        <v>0</v>
      </c>
      <c r="C7" s="240"/>
      <c r="D7" s="240"/>
      <c r="E7" s="240"/>
      <c r="F7" s="110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110"/>
      <c r="BM7" s="110"/>
      <c r="BN7" s="110"/>
      <c r="BO7" s="242"/>
      <c r="BP7" s="242"/>
      <c r="BQ7" s="110"/>
      <c r="BR7" s="110"/>
      <c r="BS7" s="110"/>
      <c r="BT7" s="110"/>
      <c r="BU7" s="242"/>
      <c r="BV7" s="242"/>
      <c r="BW7" s="242"/>
      <c r="BX7" s="242"/>
      <c r="BY7" s="240"/>
      <c r="BZ7" s="240"/>
    </row>
    <row r="8" spans="1:80" x14ac:dyDescent="0.35">
      <c r="A8" s="76" t="s">
        <v>223</v>
      </c>
      <c r="B8" s="243">
        <v>1</v>
      </c>
      <c r="C8" s="243" t="s">
        <v>224</v>
      </c>
      <c r="D8" s="243" t="s">
        <v>225</v>
      </c>
      <c r="E8" s="243"/>
      <c r="F8" s="84">
        <f t="shared" ref="F8:F23" si="0">IF(A8="","",COUNTA(G8:BK8))</f>
        <v>21</v>
      </c>
      <c r="G8" s="244">
        <v>10</v>
      </c>
      <c r="H8" s="244">
        <v>11</v>
      </c>
      <c r="I8" s="244">
        <v>12</v>
      </c>
      <c r="J8" s="244">
        <v>13</v>
      </c>
      <c r="K8" s="244">
        <v>14</v>
      </c>
      <c r="L8" s="244">
        <v>15</v>
      </c>
      <c r="M8" s="244">
        <v>16</v>
      </c>
      <c r="N8" s="244">
        <v>17</v>
      </c>
      <c r="O8" s="244">
        <v>18</v>
      </c>
      <c r="P8" s="244">
        <v>19</v>
      </c>
      <c r="Q8" s="244">
        <v>20</v>
      </c>
      <c r="R8" s="244">
        <v>21</v>
      </c>
      <c r="S8" s="244">
        <v>22</v>
      </c>
      <c r="T8" s="244">
        <v>23</v>
      </c>
      <c r="U8" s="244">
        <v>24</v>
      </c>
      <c r="V8" s="244">
        <v>25</v>
      </c>
      <c r="W8" s="244">
        <v>26</v>
      </c>
      <c r="X8" s="244">
        <v>27</v>
      </c>
      <c r="Y8" s="244">
        <v>28</v>
      </c>
      <c r="Z8" s="244">
        <v>29</v>
      </c>
      <c r="AA8" s="244">
        <v>30</v>
      </c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3"/>
      <c r="BM8" s="243"/>
      <c r="BN8" s="243"/>
      <c r="BO8" s="243"/>
      <c r="BP8" s="243" t="s">
        <v>226</v>
      </c>
      <c r="BQ8" s="244" t="s">
        <v>183</v>
      </c>
      <c r="BR8" s="244" t="s">
        <v>184</v>
      </c>
      <c r="BS8" s="244"/>
      <c r="BT8" s="244"/>
      <c r="BU8" s="245">
        <f t="shared" ref="BU8:BX32" si="1">COUNTIF($BQ8:$BT8,BU$6)</f>
        <v>0</v>
      </c>
      <c r="BV8" s="245">
        <f t="shared" si="1"/>
        <v>0</v>
      </c>
      <c r="BW8" s="245">
        <f t="shared" si="1"/>
        <v>1</v>
      </c>
      <c r="BX8" s="245">
        <f t="shared" si="1"/>
        <v>1</v>
      </c>
      <c r="BY8" s="246" t="str">
        <f>IF($BU8=0,"N/A",IF(AND($BP8="Level 1-6 (3-57 point)",MIN($G8:$BK8)&lt;Thresholds_Rates!$C$13),"Yes","No"))</f>
        <v>N/A</v>
      </c>
      <c r="BZ8" s="246" t="str">
        <f>IF(SUM($BW8:$BX8)=0,"N/A",IF(AND($BP8="Level 1-6 (3-57 point)",MAX($G8:$BK8)&gt;Thresholds_Rates!$C$14),"Yes","No"))</f>
        <v>No</v>
      </c>
    </row>
    <row r="9" spans="1:80" x14ac:dyDescent="0.35">
      <c r="A9" s="76" t="s">
        <v>227</v>
      </c>
      <c r="B9" s="243">
        <v>1</v>
      </c>
      <c r="C9" s="243" t="s">
        <v>228</v>
      </c>
      <c r="D9" s="243" t="s">
        <v>229</v>
      </c>
      <c r="E9" s="243"/>
      <c r="F9" s="84">
        <f t="shared" si="0"/>
        <v>35</v>
      </c>
      <c r="G9" s="244">
        <v>23</v>
      </c>
      <c r="H9" s="244">
        <v>24</v>
      </c>
      <c r="I9" s="244">
        <v>25</v>
      </c>
      <c r="J9" s="244">
        <v>26</v>
      </c>
      <c r="K9" s="244">
        <v>27</v>
      </c>
      <c r="L9" s="244">
        <v>28</v>
      </c>
      <c r="M9" s="244">
        <v>29</v>
      </c>
      <c r="N9" s="244">
        <v>30</v>
      </c>
      <c r="O9" s="244">
        <v>31</v>
      </c>
      <c r="P9" s="244">
        <v>32</v>
      </c>
      <c r="Q9" s="244">
        <v>33</v>
      </c>
      <c r="R9" s="244">
        <v>34</v>
      </c>
      <c r="S9" s="244">
        <v>35</v>
      </c>
      <c r="T9" s="244">
        <v>36</v>
      </c>
      <c r="U9" s="244">
        <v>37</v>
      </c>
      <c r="V9" s="244">
        <v>38</v>
      </c>
      <c r="W9" s="244">
        <v>39</v>
      </c>
      <c r="X9" s="244">
        <v>40</v>
      </c>
      <c r="Y9" s="244">
        <v>41</v>
      </c>
      <c r="Z9" s="244">
        <v>42</v>
      </c>
      <c r="AA9" s="244">
        <v>43</v>
      </c>
      <c r="AB9" s="244">
        <v>44</v>
      </c>
      <c r="AC9" s="244">
        <v>45</v>
      </c>
      <c r="AD9" s="244">
        <v>46</v>
      </c>
      <c r="AE9" s="244">
        <v>47</v>
      </c>
      <c r="AF9" s="244">
        <v>48</v>
      </c>
      <c r="AG9" s="244">
        <v>49</v>
      </c>
      <c r="AH9" s="244">
        <v>50</v>
      </c>
      <c r="AI9" s="244">
        <v>51</v>
      </c>
      <c r="AJ9" s="244">
        <v>52</v>
      </c>
      <c r="AK9" s="244">
        <v>53</v>
      </c>
      <c r="AL9" s="244">
        <v>54</v>
      </c>
      <c r="AM9" s="244">
        <v>55</v>
      </c>
      <c r="AN9" s="244">
        <v>56</v>
      </c>
      <c r="AO9" s="244">
        <v>57</v>
      </c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3"/>
      <c r="BM9" s="243"/>
      <c r="BN9" s="243"/>
      <c r="BO9" s="243"/>
      <c r="BP9" s="243" t="s">
        <v>226</v>
      </c>
      <c r="BQ9" s="244" t="s">
        <v>181</v>
      </c>
      <c r="BR9" s="244" t="s">
        <v>182</v>
      </c>
      <c r="BS9" s="244"/>
      <c r="BT9" s="244"/>
      <c r="BU9" s="245">
        <f t="shared" si="1"/>
        <v>1</v>
      </c>
      <c r="BV9" s="245">
        <f t="shared" si="1"/>
        <v>1</v>
      </c>
      <c r="BW9" s="245">
        <f t="shared" si="1"/>
        <v>0</v>
      </c>
      <c r="BX9" s="245">
        <f t="shared" si="1"/>
        <v>0</v>
      </c>
      <c r="BY9" s="246" t="str">
        <f>IF($BU9=0,"N/A",IF(AND($BP9="Level 1-6 (3-57 point)",MIN($G9:$BK9)&lt;Thresholds_Rates!$C$13),"Yes","No"))</f>
        <v>No</v>
      </c>
      <c r="BZ9" s="246" t="str">
        <f>IF(SUM($BW9:$BX9)=0,"N/A",IF(AND($BP9="Level 1-6 (3-57 point)",MAX($G9:$BK9)&gt;Thresholds_Rates!$C$14),"Yes","No"))</f>
        <v>N/A</v>
      </c>
    </row>
    <row r="10" spans="1:80" x14ac:dyDescent="0.35">
      <c r="A10" s="76" t="s">
        <v>230</v>
      </c>
      <c r="B10" s="243">
        <v>2</v>
      </c>
      <c r="C10" s="243" t="s">
        <v>224</v>
      </c>
      <c r="D10" s="243" t="s">
        <v>225</v>
      </c>
      <c r="E10" s="243"/>
      <c r="F10" s="84">
        <f t="shared" si="0"/>
        <v>3</v>
      </c>
      <c r="G10" s="244">
        <v>10</v>
      </c>
      <c r="H10" s="244">
        <v>11</v>
      </c>
      <c r="I10" s="244">
        <v>12</v>
      </c>
      <c r="J10" s="244"/>
      <c r="K10" s="244"/>
      <c r="L10" s="244"/>
      <c r="M10" s="244"/>
      <c r="N10" s="244"/>
      <c r="O10" s="244"/>
      <c r="P10" s="244"/>
      <c r="Q10" s="244"/>
      <c r="R10" s="244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4">
        <v>8</v>
      </c>
      <c r="BM10" s="244">
        <v>11</v>
      </c>
      <c r="BN10" s="244">
        <v>12</v>
      </c>
      <c r="BO10" s="243"/>
      <c r="BP10" s="243" t="s">
        <v>226</v>
      </c>
      <c r="BQ10" s="244" t="s">
        <v>183</v>
      </c>
      <c r="BR10" s="244" t="s">
        <v>184</v>
      </c>
      <c r="BS10" s="243"/>
      <c r="BT10" s="243"/>
      <c r="BU10" s="245">
        <f t="shared" si="1"/>
        <v>0</v>
      </c>
      <c r="BV10" s="245">
        <f t="shared" si="1"/>
        <v>0</v>
      </c>
      <c r="BW10" s="245">
        <f t="shared" si="1"/>
        <v>1</v>
      </c>
      <c r="BX10" s="245">
        <f t="shared" si="1"/>
        <v>1</v>
      </c>
      <c r="BY10" s="246" t="str">
        <f>IF($BU10=0,"N/A",IF(AND($BP10="Level 1-6 (3-57 point)",MIN($G10:$BK10)&lt;Thresholds_Rates!$C$13),"Yes","No"))</f>
        <v>N/A</v>
      </c>
      <c r="BZ10" s="246" t="str">
        <f>IF(SUM($BW10:$BX10)=0,"N/A",IF(AND($BP10="Level 1-6 (3-57 point)",MAX($G10:$BK10)&gt;Thresholds_Rates!$C$14),"Yes","No"))</f>
        <v>No</v>
      </c>
    </row>
    <row r="11" spans="1:80" x14ac:dyDescent="0.35">
      <c r="A11" s="76" t="s">
        <v>231</v>
      </c>
      <c r="B11" s="243">
        <v>2</v>
      </c>
      <c r="C11" s="243" t="s">
        <v>224</v>
      </c>
      <c r="D11" s="243" t="s">
        <v>225</v>
      </c>
      <c r="E11" s="243"/>
      <c r="F11" s="84">
        <f t="shared" si="0"/>
        <v>9</v>
      </c>
      <c r="G11" s="244">
        <v>13</v>
      </c>
      <c r="H11" s="244">
        <v>14</v>
      </c>
      <c r="I11" s="244">
        <v>15</v>
      </c>
      <c r="J11" s="244">
        <v>16</v>
      </c>
      <c r="K11" s="244">
        <v>17</v>
      </c>
      <c r="L11" s="244">
        <v>18</v>
      </c>
      <c r="M11" s="244">
        <v>19</v>
      </c>
      <c r="N11" s="244">
        <v>20</v>
      </c>
      <c r="O11" s="243">
        <v>21</v>
      </c>
      <c r="P11" s="244"/>
      <c r="Q11" s="244"/>
      <c r="R11" s="244"/>
      <c r="S11" s="244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4">
        <v>13</v>
      </c>
      <c r="BM11" s="244">
        <v>18</v>
      </c>
      <c r="BN11" s="244">
        <v>21</v>
      </c>
      <c r="BO11" s="243"/>
      <c r="BP11" s="243" t="s">
        <v>226</v>
      </c>
      <c r="BQ11" s="244" t="s">
        <v>183</v>
      </c>
      <c r="BR11" s="244" t="s">
        <v>184</v>
      </c>
      <c r="BS11" s="243"/>
      <c r="BT11" s="243"/>
      <c r="BU11" s="245">
        <f t="shared" si="1"/>
        <v>0</v>
      </c>
      <c r="BV11" s="245">
        <f t="shared" si="1"/>
        <v>0</v>
      </c>
      <c r="BW11" s="245">
        <f t="shared" si="1"/>
        <v>1</v>
      </c>
      <c r="BX11" s="245">
        <f t="shared" si="1"/>
        <v>1</v>
      </c>
      <c r="BY11" s="246" t="str">
        <f>IF($BU11=0,"N/A",IF(AND($BP11="Level 1-6 (3-57 point)",MIN($G11:$BK11)&lt;Thresholds_Rates!$C$13),"Yes","No"))</f>
        <v>N/A</v>
      </c>
      <c r="BZ11" s="246" t="str">
        <f>IF(SUM($BW11:$BX11)=0,"N/A",IF(AND($BP11="Level 1-6 (3-57 point)",MAX($G11:$BK11)&gt;Thresholds_Rates!$C$14),"Yes","No"))</f>
        <v>No</v>
      </c>
    </row>
    <row r="12" spans="1:80" x14ac:dyDescent="0.35">
      <c r="A12" s="76" t="s">
        <v>232</v>
      </c>
      <c r="B12" s="243">
        <v>2</v>
      </c>
      <c r="C12" s="243" t="s">
        <v>224</v>
      </c>
      <c r="D12" s="243" t="s">
        <v>225</v>
      </c>
      <c r="E12" s="243"/>
      <c r="F12" s="84">
        <f t="shared" si="0"/>
        <v>11</v>
      </c>
      <c r="G12" s="244">
        <v>20</v>
      </c>
      <c r="H12" s="244">
        <v>21</v>
      </c>
      <c r="I12" s="244">
        <v>22</v>
      </c>
      <c r="J12" s="244">
        <v>23</v>
      </c>
      <c r="K12" s="244">
        <v>24</v>
      </c>
      <c r="L12" s="244">
        <v>25</v>
      </c>
      <c r="M12" s="244">
        <v>26</v>
      </c>
      <c r="N12" s="244">
        <v>27</v>
      </c>
      <c r="O12" s="244">
        <v>28</v>
      </c>
      <c r="P12" s="243">
        <v>29</v>
      </c>
      <c r="Q12" s="243">
        <v>30</v>
      </c>
      <c r="R12" s="244"/>
      <c r="S12" s="244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4">
        <v>20</v>
      </c>
      <c r="BM12" s="244">
        <v>27</v>
      </c>
      <c r="BN12" s="244">
        <v>30</v>
      </c>
      <c r="BO12" s="243"/>
      <c r="BP12" s="243" t="s">
        <v>226</v>
      </c>
      <c r="BQ12" s="244" t="s">
        <v>183</v>
      </c>
      <c r="BR12" s="244" t="s">
        <v>184</v>
      </c>
      <c r="BS12" s="243"/>
      <c r="BT12" s="243"/>
      <c r="BU12" s="245">
        <f t="shared" si="1"/>
        <v>0</v>
      </c>
      <c r="BV12" s="245">
        <f t="shared" si="1"/>
        <v>0</v>
      </c>
      <c r="BW12" s="245">
        <f t="shared" si="1"/>
        <v>1</v>
      </c>
      <c r="BX12" s="245">
        <f t="shared" si="1"/>
        <v>1</v>
      </c>
      <c r="BY12" s="246" t="str">
        <f>IF($BU12=0,"N/A",IF(AND($BP12="Level 1-6 (3-57 point)",MIN($G12:$BK12)&lt;Thresholds_Rates!$C$13),"Yes","No"))</f>
        <v>N/A</v>
      </c>
      <c r="BZ12" s="246" t="str">
        <f>IF(SUM($BW12:$BX12)=0,"N/A",IF(AND($BP12="Level 1-6 (3-57 point)",MAX($G12:$BK12)&gt;Thresholds_Rates!$C$14),"Yes","No"))</f>
        <v>No</v>
      </c>
    </row>
    <row r="13" spans="1:80" x14ac:dyDescent="0.35">
      <c r="A13" s="76" t="s">
        <v>233</v>
      </c>
      <c r="B13" s="243">
        <v>2</v>
      </c>
      <c r="C13" s="243" t="s">
        <v>228</v>
      </c>
      <c r="D13" s="243" t="s">
        <v>229</v>
      </c>
      <c r="E13" s="243"/>
      <c r="F13" s="84">
        <f t="shared" si="0"/>
        <v>13</v>
      </c>
      <c r="G13" s="244">
        <v>27</v>
      </c>
      <c r="H13" s="244">
        <v>28</v>
      </c>
      <c r="I13" s="244">
        <v>29</v>
      </c>
      <c r="J13" s="244">
        <v>30</v>
      </c>
      <c r="K13" s="244">
        <v>31</v>
      </c>
      <c r="L13" s="244">
        <v>32</v>
      </c>
      <c r="M13" s="244">
        <v>33</v>
      </c>
      <c r="N13" s="244">
        <v>34</v>
      </c>
      <c r="O13" s="244">
        <v>35</v>
      </c>
      <c r="P13" s="244">
        <v>36</v>
      </c>
      <c r="Q13" s="244">
        <v>37</v>
      </c>
      <c r="R13" s="244">
        <v>38</v>
      </c>
      <c r="S13" s="244">
        <v>39</v>
      </c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4">
        <v>27</v>
      </c>
      <c r="BM13" s="244">
        <v>37</v>
      </c>
      <c r="BN13" s="244">
        <v>39</v>
      </c>
      <c r="BO13" s="243"/>
      <c r="BP13" s="243" t="s">
        <v>226</v>
      </c>
      <c r="BQ13" s="244" t="s">
        <v>181</v>
      </c>
      <c r="BR13" s="243"/>
      <c r="BS13" s="243"/>
      <c r="BT13" s="243"/>
      <c r="BU13" s="245">
        <f t="shared" si="1"/>
        <v>1</v>
      </c>
      <c r="BV13" s="245">
        <f t="shared" si="1"/>
        <v>0</v>
      </c>
      <c r="BW13" s="245">
        <f t="shared" si="1"/>
        <v>0</v>
      </c>
      <c r="BX13" s="245">
        <f t="shared" si="1"/>
        <v>0</v>
      </c>
      <c r="BY13" s="246" t="str">
        <f>IF($BU13=0,"N/A",IF(AND($BP13="Level 1-6 (3-57 point)",MIN($G13:$BK13)&lt;Thresholds_Rates!$C$13),"Yes","No"))</f>
        <v>No</v>
      </c>
      <c r="BZ13" s="246" t="str">
        <f>IF(SUM($BW13:$BX13)=0,"N/A",IF(AND($BP13="Level 1-6 (3-57 point)",MAX($G13:$BK13)&gt;Thresholds_Rates!$C$14),"Yes","No"))</f>
        <v>N/A</v>
      </c>
    </row>
    <row r="14" spans="1:80" x14ac:dyDescent="0.35">
      <c r="A14" s="76" t="s">
        <v>234</v>
      </c>
      <c r="B14" s="243">
        <v>2</v>
      </c>
      <c r="C14" s="243" t="s">
        <v>228</v>
      </c>
      <c r="D14" s="243" t="s">
        <v>229</v>
      </c>
      <c r="E14" s="243"/>
      <c r="F14" s="84">
        <f t="shared" si="0"/>
        <v>4</v>
      </c>
      <c r="G14" s="244">
        <v>23</v>
      </c>
      <c r="H14" s="244">
        <v>24</v>
      </c>
      <c r="I14" s="244">
        <v>26</v>
      </c>
      <c r="J14" s="244">
        <v>27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4">
        <v>23</v>
      </c>
      <c r="BM14" s="244"/>
      <c r="BN14" s="244"/>
      <c r="BO14" s="243"/>
      <c r="BP14" s="243" t="s">
        <v>226</v>
      </c>
      <c r="BQ14" s="244" t="s">
        <v>181</v>
      </c>
      <c r="BR14" s="243"/>
      <c r="BS14" s="243"/>
      <c r="BT14" s="243"/>
      <c r="BU14" s="245">
        <f t="shared" si="1"/>
        <v>1</v>
      </c>
      <c r="BV14" s="245">
        <f t="shared" si="1"/>
        <v>0</v>
      </c>
      <c r="BW14" s="245">
        <f t="shared" si="1"/>
        <v>0</v>
      </c>
      <c r="BX14" s="245">
        <f t="shared" si="1"/>
        <v>0</v>
      </c>
      <c r="BY14" s="246" t="str">
        <f>IF($BU14=0,"N/A",IF(AND($BP14="Level 1-6 (3-57 point)",MIN($G14:$BK14)&lt;Thresholds_Rates!$C$13),"Yes","No"))</f>
        <v>No</v>
      </c>
      <c r="BZ14" s="246" t="str">
        <f>IF(SUM($BW14:$BX14)=0,"N/A",IF(AND($BP14="Level 1-6 (3-57 point)",MAX($G14:$BK14)&gt;Thresholds_Rates!$C$14),"Yes","No"))</f>
        <v>N/A</v>
      </c>
    </row>
    <row r="15" spans="1:80" x14ac:dyDescent="0.35">
      <c r="A15" s="76" t="s">
        <v>235</v>
      </c>
      <c r="B15" s="243">
        <v>2</v>
      </c>
      <c r="C15" s="243" t="s">
        <v>228</v>
      </c>
      <c r="D15" s="243" t="s">
        <v>229</v>
      </c>
      <c r="E15" s="243"/>
      <c r="F15" s="84">
        <f t="shared" si="0"/>
        <v>13</v>
      </c>
      <c r="G15" s="244">
        <v>36</v>
      </c>
      <c r="H15" s="244">
        <v>37</v>
      </c>
      <c r="I15" s="244">
        <v>38</v>
      </c>
      <c r="J15" s="244">
        <v>39</v>
      </c>
      <c r="K15" s="244">
        <v>40</v>
      </c>
      <c r="L15" s="244">
        <v>41</v>
      </c>
      <c r="M15" s="244">
        <v>42</v>
      </c>
      <c r="N15" s="244">
        <v>43</v>
      </c>
      <c r="O15" s="244">
        <v>44</v>
      </c>
      <c r="P15" s="244">
        <v>45</v>
      </c>
      <c r="Q15" s="244">
        <v>46</v>
      </c>
      <c r="R15" s="244">
        <v>47</v>
      </c>
      <c r="S15" s="244">
        <v>48</v>
      </c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4">
        <v>36</v>
      </c>
      <c r="BM15" s="244">
        <v>44</v>
      </c>
      <c r="BN15" s="244">
        <v>48</v>
      </c>
      <c r="BO15" s="243"/>
      <c r="BP15" s="243" t="s">
        <v>226</v>
      </c>
      <c r="BQ15" s="244" t="s">
        <v>181</v>
      </c>
      <c r="BR15" s="243"/>
      <c r="BS15" s="243"/>
      <c r="BT15" s="243"/>
      <c r="BU15" s="245">
        <f t="shared" si="1"/>
        <v>1</v>
      </c>
      <c r="BV15" s="245">
        <f t="shared" si="1"/>
        <v>0</v>
      </c>
      <c r="BW15" s="245">
        <f t="shared" si="1"/>
        <v>0</v>
      </c>
      <c r="BX15" s="245">
        <f t="shared" si="1"/>
        <v>0</v>
      </c>
      <c r="BY15" s="246" t="str">
        <f>IF($BU15=0,"N/A",IF(AND($BP15="Level 1-6 (3-57 point)",MIN($G15:$BK15)&lt;Thresholds_Rates!$C$13),"Yes","No"))</f>
        <v>No</v>
      </c>
      <c r="BZ15" s="246" t="str">
        <f>IF(SUM($BW15:$BX15)=0,"N/A",IF(AND($BP15="Level 1-6 (3-57 point)",MAX($G15:$BK15)&gt;Thresholds_Rates!$C$14),"Yes","No"))</f>
        <v>N/A</v>
      </c>
    </row>
    <row r="16" spans="1:80" x14ac:dyDescent="0.35">
      <c r="A16" s="76" t="s">
        <v>236</v>
      </c>
      <c r="B16" s="243">
        <v>2</v>
      </c>
      <c r="C16" s="243" t="s">
        <v>228</v>
      </c>
      <c r="D16" s="243" t="s">
        <v>229</v>
      </c>
      <c r="E16" s="243"/>
      <c r="F16" s="84">
        <f t="shared" si="0"/>
        <v>13</v>
      </c>
      <c r="G16" s="244">
        <v>45</v>
      </c>
      <c r="H16" s="244">
        <v>46</v>
      </c>
      <c r="I16" s="244">
        <v>47</v>
      </c>
      <c r="J16" s="244">
        <v>48</v>
      </c>
      <c r="K16" s="244">
        <v>49</v>
      </c>
      <c r="L16" s="244">
        <v>50</v>
      </c>
      <c r="M16" s="244">
        <v>51</v>
      </c>
      <c r="N16" s="244">
        <v>52</v>
      </c>
      <c r="O16" s="244">
        <v>53</v>
      </c>
      <c r="P16" s="244">
        <v>54</v>
      </c>
      <c r="Q16" s="244">
        <v>55</v>
      </c>
      <c r="R16" s="244">
        <v>56</v>
      </c>
      <c r="S16" s="244">
        <v>57</v>
      </c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4">
        <v>45</v>
      </c>
      <c r="BM16" s="244">
        <v>52</v>
      </c>
      <c r="BN16" s="244">
        <v>57</v>
      </c>
      <c r="BO16" s="243"/>
      <c r="BP16" s="243" t="s">
        <v>226</v>
      </c>
      <c r="BQ16" s="244" t="s">
        <v>181</v>
      </c>
      <c r="BR16" s="243"/>
      <c r="BS16" s="243"/>
      <c r="BT16" s="243"/>
      <c r="BU16" s="245">
        <f t="shared" si="1"/>
        <v>1</v>
      </c>
      <c r="BV16" s="245">
        <f t="shared" si="1"/>
        <v>0</v>
      </c>
      <c r="BW16" s="245">
        <f t="shared" si="1"/>
        <v>0</v>
      </c>
      <c r="BX16" s="245">
        <f t="shared" si="1"/>
        <v>0</v>
      </c>
      <c r="BY16" s="246" t="str">
        <f>IF($BU16=0,"N/A",IF(AND($BP16="Level 1-6 (3-57 point)",MIN($G16:$BK16)&lt;Thresholds_Rates!$C$13),"Yes","No"))</f>
        <v>No</v>
      </c>
      <c r="BZ16" s="246" t="str">
        <f>IF(SUM($BW16:$BX16)=0,"N/A",IF(AND($BP16="Level 1-6 (3-57 point)",MAX($G16:$BK16)&gt;Thresholds_Rates!$C$14),"Yes","No"))</f>
        <v>N/A</v>
      </c>
    </row>
    <row r="17" spans="1:78" x14ac:dyDescent="0.35">
      <c r="A17" s="76" t="s">
        <v>237</v>
      </c>
      <c r="B17" s="243">
        <v>2</v>
      </c>
      <c r="C17" s="243" t="s">
        <v>238</v>
      </c>
      <c r="D17" s="243" t="s">
        <v>239</v>
      </c>
      <c r="E17" s="243"/>
      <c r="F17" s="84">
        <f t="shared" si="0"/>
        <v>26</v>
      </c>
      <c r="G17" s="244">
        <v>1</v>
      </c>
      <c r="H17" s="244">
        <v>2</v>
      </c>
      <c r="I17" s="244">
        <v>3</v>
      </c>
      <c r="J17" s="244">
        <v>4</v>
      </c>
      <c r="K17" s="244">
        <v>5</v>
      </c>
      <c r="L17" s="244">
        <v>6</v>
      </c>
      <c r="M17" s="244">
        <v>7</v>
      </c>
      <c r="N17" s="244">
        <v>8</v>
      </c>
      <c r="O17" s="244">
        <v>9</v>
      </c>
      <c r="P17" s="244">
        <v>10</v>
      </c>
      <c r="Q17" s="244">
        <v>11</v>
      </c>
      <c r="R17" s="244">
        <v>12</v>
      </c>
      <c r="S17" s="244">
        <v>13</v>
      </c>
      <c r="T17" s="244">
        <v>14</v>
      </c>
      <c r="U17" s="244">
        <v>15</v>
      </c>
      <c r="V17" s="244">
        <v>16</v>
      </c>
      <c r="W17" s="244">
        <v>17</v>
      </c>
      <c r="X17" s="244">
        <v>18</v>
      </c>
      <c r="Y17" s="244">
        <v>19</v>
      </c>
      <c r="Z17" s="244">
        <v>20</v>
      </c>
      <c r="AA17" s="244">
        <v>21</v>
      </c>
      <c r="AB17" s="244">
        <v>22</v>
      </c>
      <c r="AC17" s="244">
        <v>23</v>
      </c>
      <c r="AD17" s="244">
        <v>24</v>
      </c>
      <c r="AE17" s="244">
        <v>25</v>
      </c>
      <c r="AF17" s="244">
        <v>26</v>
      </c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4">
        <v>1</v>
      </c>
      <c r="BM17" s="244">
        <v>17</v>
      </c>
      <c r="BN17" s="244">
        <v>26</v>
      </c>
      <c r="BO17" s="243"/>
      <c r="BP17" s="243" t="s">
        <v>240</v>
      </c>
      <c r="BQ17" s="244" t="s">
        <v>181</v>
      </c>
      <c r="BR17" s="243"/>
      <c r="BS17" s="243"/>
      <c r="BT17" s="243"/>
      <c r="BU17" s="245">
        <f t="shared" si="1"/>
        <v>1</v>
      </c>
      <c r="BV17" s="245">
        <f t="shared" si="1"/>
        <v>0</v>
      </c>
      <c r="BW17" s="245">
        <f t="shared" si="1"/>
        <v>0</v>
      </c>
      <c r="BX17" s="245">
        <f t="shared" si="1"/>
        <v>0</v>
      </c>
      <c r="BY17" s="246" t="str">
        <f>IF($BU17=0,"N/A",IF(AND($BP17="Level 1-6 (3-57 point)",MIN($G17:$BK17)&lt;Thresholds_Rates!$C$13),"Yes","No"))</f>
        <v>No</v>
      </c>
      <c r="BZ17" s="246" t="str">
        <f>IF(SUM($BW17:$BX17)=0,"N/A",IF(AND($BP17="Level 1-6 (3-57 point)",MAX($G17:$BK17)&gt;Thresholds_Rates!$C$14),"Yes","No"))</f>
        <v>N/A</v>
      </c>
    </row>
    <row r="18" spans="1:78" x14ac:dyDescent="0.35">
      <c r="A18" s="76" t="s">
        <v>241</v>
      </c>
      <c r="B18" s="243">
        <v>2</v>
      </c>
      <c r="C18" s="243" t="s">
        <v>224</v>
      </c>
      <c r="D18" s="243" t="s">
        <v>225</v>
      </c>
      <c r="E18" s="243"/>
      <c r="F18" s="84">
        <f t="shared" si="0"/>
        <v>1</v>
      </c>
      <c r="G18" s="244">
        <v>10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4"/>
      <c r="BK18" s="244"/>
      <c r="BL18" s="244">
        <v>10</v>
      </c>
      <c r="BM18" s="243"/>
      <c r="BN18" s="243">
        <v>10</v>
      </c>
      <c r="BO18" s="243"/>
      <c r="BP18" s="243" t="s">
        <v>226</v>
      </c>
      <c r="BQ18" s="244" t="s">
        <v>184</v>
      </c>
      <c r="BR18" s="244"/>
      <c r="BS18" s="243"/>
      <c r="BT18" s="243"/>
      <c r="BU18" s="245">
        <f t="shared" si="1"/>
        <v>0</v>
      </c>
      <c r="BV18" s="245">
        <f t="shared" si="1"/>
        <v>0</v>
      </c>
      <c r="BW18" s="245">
        <f t="shared" si="1"/>
        <v>0</v>
      </c>
      <c r="BX18" s="245">
        <f t="shared" si="1"/>
        <v>1</v>
      </c>
      <c r="BY18" s="246" t="str">
        <f>IF($BU18=0,"N/A",IF(AND($BP18="Level 1-6 (3-57 point)",MIN($G18:$BK18)&lt;Thresholds_Rates!$C$13),"Yes","No"))</f>
        <v>N/A</v>
      </c>
      <c r="BZ18" s="246" t="str">
        <f>IF(SUM($BW18:$BX18)=0,"N/A",IF(AND($BP18="Level 1-6 (3-57 point)",MAX($G18:$BK18)&gt;Thresholds_Rates!$C$14),"Yes","No"))</f>
        <v>No</v>
      </c>
    </row>
    <row r="19" spans="1:78" x14ac:dyDescent="0.35">
      <c r="A19" s="76" t="s">
        <v>242</v>
      </c>
      <c r="B19" s="243">
        <v>2</v>
      </c>
      <c r="C19" s="243" t="s">
        <v>224</v>
      </c>
      <c r="D19" s="243" t="s">
        <v>225</v>
      </c>
      <c r="E19" s="243"/>
      <c r="F19" s="84">
        <f t="shared" si="0"/>
        <v>2</v>
      </c>
      <c r="G19" s="244">
        <v>10</v>
      </c>
      <c r="H19" s="244">
        <v>11</v>
      </c>
      <c r="I19" s="244"/>
      <c r="J19" s="244"/>
      <c r="K19" s="244"/>
      <c r="L19" s="244"/>
      <c r="M19" s="244"/>
      <c r="N19" s="244"/>
      <c r="O19" s="244"/>
      <c r="P19" s="244"/>
      <c r="Q19" s="244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4"/>
      <c r="BK19" s="244"/>
      <c r="BL19" s="244">
        <v>10</v>
      </c>
      <c r="BM19" s="243"/>
      <c r="BN19" s="243">
        <v>11</v>
      </c>
      <c r="BO19" s="243"/>
      <c r="BP19" s="243" t="s">
        <v>226</v>
      </c>
      <c r="BQ19" s="244" t="s">
        <v>184</v>
      </c>
      <c r="BR19" s="244"/>
      <c r="BS19" s="243"/>
      <c r="BT19" s="243"/>
      <c r="BU19" s="245">
        <f t="shared" si="1"/>
        <v>0</v>
      </c>
      <c r="BV19" s="245">
        <f t="shared" si="1"/>
        <v>0</v>
      </c>
      <c r="BW19" s="245">
        <f t="shared" si="1"/>
        <v>0</v>
      </c>
      <c r="BX19" s="245">
        <f t="shared" si="1"/>
        <v>1</v>
      </c>
      <c r="BY19" s="246" t="str">
        <f>IF($BU19=0,"N/A",IF(AND($BP19="Level 1-6 (3-57 point)",MIN($G19:$BK19)&lt;Thresholds_Rates!$C$13),"Yes","No"))</f>
        <v>N/A</v>
      </c>
      <c r="BZ19" s="246" t="str">
        <f>IF(SUM($BW19:$BX19)=0,"N/A",IF(AND($BP19="Level 1-6 (3-57 point)",MAX($G19:$BK19)&gt;Thresholds_Rates!$C$14),"Yes","No"))</f>
        <v>No</v>
      </c>
    </row>
    <row r="20" spans="1:78" x14ac:dyDescent="0.35">
      <c r="A20" s="76" t="s">
        <v>243</v>
      </c>
      <c r="B20" s="243">
        <v>2</v>
      </c>
      <c r="C20" s="243" t="s">
        <v>224</v>
      </c>
      <c r="D20" s="243" t="s">
        <v>225</v>
      </c>
      <c r="E20" s="243"/>
      <c r="F20" s="84">
        <f t="shared" si="0"/>
        <v>4</v>
      </c>
      <c r="G20" s="244">
        <v>13</v>
      </c>
      <c r="H20" s="244">
        <v>14</v>
      </c>
      <c r="I20" s="244">
        <v>15</v>
      </c>
      <c r="J20" s="244">
        <v>16</v>
      </c>
      <c r="K20" s="244"/>
      <c r="L20" s="244"/>
      <c r="M20" s="244"/>
      <c r="N20" s="244"/>
      <c r="O20" s="244"/>
      <c r="P20" s="244"/>
      <c r="Q20" s="244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4"/>
      <c r="BK20" s="244"/>
      <c r="BL20" s="244">
        <v>13</v>
      </c>
      <c r="BM20" s="243"/>
      <c r="BN20" s="243">
        <v>16</v>
      </c>
      <c r="BO20" s="243"/>
      <c r="BP20" s="243" t="s">
        <v>226</v>
      </c>
      <c r="BQ20" s="244" t="s">
        <v>184</v>
      </c>
      <c r="BR20" s="244"/>
      <c r="BS20" s="243"/>
      <c r="BT20" s="243"/>
      <c r="BU20" s="245">
        <f t="shared" si="1"/>
        <v>0</v>
      </c>
      <c r="BV20" s="245">
        <f t="shared" si="1"/>
        <v>0</v>
      </c>
      <c r="BW20" s="245">
        <f t="shared" si="1"/>
        <v>0</v>
      </c>
      <c r="BX20" s="245">
        <f t="shared" si="1"/>
        <v>1</v>
      </c>
      <c r="BY20" s="246" t="str">
        <f>IF($BU20=0,"N/A",IF(AND($BP20="Level 1-6 (3-57 point)",MIN($G20:$BK20)&lt;Thresholds_Rates!$C$13),"Yes","No"))</f>
        <v>N/A</v>
      </c>
      <c r="BZ20" s="246" t="str">
        <f>IF(SUM($BW20:$BX20)=0,"N/A",IF(AND($BP20="Level 1-6 (3-57 point)",MAX($G20:$BK20)&gt;Thresholds_Rates!$C$14),"Yes","No"))</f>
        <v>No</v>
      </c>
    </row>
    <row r="21" spans="1:78" x14ac:dyDescent="0.35">
      <c r="A21" s="76" t="s">
        <v>244</v>
      </c>
      <c r="B21" s="243">
        <v>2</v>
      </c>
      <c r="C21" s="243" t="s">
        <v>224</v>
      </c>
      <c r="D21" s="243" t="s">
        <v>225</v>
      </c>
      <c r="E21" s="243"/>
      <c r="F21" s="84">
        <f t="shared" si="0"/>
        <v>4</v>
      </c>
      <c r="G21" s="244">
        <v>14</v>
      </c>
      <c r="H21" s="244">
        <v>15</v>
      </c>
      <c r="I21" s="244">
        <v>16</v>
      </c>
      <c r="J21" s="244">
        <v>17</v>
      </c>
      <c r="K21" s="244"/>
      <c r="L21" s="244"/>
      <c r="M21" s="244"/>
      <c r="N21" s="244"/>
      <c r="O21" s="244"/>
      <c r="P21" s="244"/>
      <c r="Q21" s="244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4"/>
      <c r="BK21" s="244"/>
      <c r="BL21" s="244">
        <v>14</v>
      </c>
      <c r="BM21" s="243"/>
      <c r="BN21" s="243">
        <v>17</v>
      </c>
      <c r="BO21" s="243"/>
      <c r="BP21" s="243" t="s">
        <v>226</v>
      </c>
      <c r="BQ21" s="244" t="s">
        <v>184</v>
      </c>
      <c r="BR21" s="244"/>
      <c r="BS21" s="243"/>
      <c r="BT21" s="243"/>
      <c r="BU21" s="245">
        <f t="shared" si="1"/>
        <v>0</v>
      </c>
      <c r="BV21" s="245">
        <f t="shared" si="1"/>
        <v>0</v>
      </c>
      <c r="BW21" s="245">
        <f t="shared" si="1"/>
        <v>0</v>
      </c>
      <c r="BX21" s="245">
        <f t="shared" si="1"/>
        <v>1</v>
      </c>
      <c r="BY21" s="246" t="str">
        <f>IF($BU21=0,"N/A",IF(AND($BP21="Level 1-6 (3-57 point)",MIN($G21:$BK21)&lt;Thresholds_Rates!$C$13),"Yes","No"))</f>
        <v>N/A</v>
      </c>
      <c r="BZ21" s="246" t="str">
        <f>IF(SUM($BW21:$BX21)=0,"N/A",IF(AND($BP21="Level 1-6 (3-57 point)",MAX($G21:$BK21)&gt;Thresholds_Rates!$C$14),"Yes","No"))</f>
        <v>No</v>
      </c>
    </row>
    <row r="22" spans="1:78" x14ac:dyDescent="0.35">
      <c r="A22" s="76" t="s">
        <v>245</v>
      </c>
      <c r="B22" s="243">
        <v>2</v>
      </c>
      <c r="C22" s="243" t="s">
        <v>224</v>
      </c>
      <c r="D22" s="243" t="s">
        <v>225</v>
      </c>
      <c r="E22" s="243"/>
      <c r="F22" s="84">
        <f t="shared" si="0"/>
        <v>5</v>
      </c>
      <c r="G22" s="244">
        <v>16</v>
      </c>
      <c r="H22" s="244">
        <v>17</v>
      </c>
      <c r="I22" s="244">
        <v>18</v>
      </c>
      <c r="J22" s="244">
        <v>19</v>
      </c>
      <c r="K22" s="244">
        <v>20</v>
      </c>
      <c r="L22" s="244"/>
      <c r="M22" s="244"/>
      <c r="N22" s="244"/>
      <c r="O22" s="244"/>
      <c r="P22" s="244"/>
      <c r="Q22" s="244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4"/>
      <c r="BK22" s="244"/>
      <c r="BL22" s="244">
        <v>16</v>
      </c>
      <c r="BM22" s="243"/>
      <c r="BN22" s="243">
        <v>20</v>
      </c>
      <c r="BO22" s="243"/>
      <c r="BP22" s="243" t="s">
        <v>226</v>
      </c>
      <c r="BQ22" s="244" t="s">
        <v>184</v>
      </c>
      <c r="BR22" s="244"/>
      <c r="BS22" s="243"/>
      <c r="BT22" s="243"/>
      <c r="BU22" s="245">
        <f t="shared" si="1"/>
        <v>0</v>
      </c>
      <c r="BV22" s="245">
        <f t="shared" si="1"/>
        <v>0</v>
      </c>
      <c r="BW22" s="245">
        <f t="shared" si="1"/>
        <v>0</v>
      </c>
      <c r="BX22" s="245">
        <f t="shared" si="1"/>
        <v>1</v>
      </c>
      <c r="BY22" s="246" t="str">
        <f>IF($BU22=0,"N/A",IF(AND($BP22="Level 1-6 (3-57 point)",MIN($G22:$BK22)&lt;Thresholds_Rates!$C$13),"Yes","No"))</f>
        <v>N/A</v>
      </c>
      <c r="BZ22" s="246" t="str">
        <f>IF(SUM($BW22:$BX22)=0,"N/A",IF(AND($BP22="Level 1-6 (3-57 point)",MAX($G22:$BK22)&gt;Thresholds_Rates!$C$14),"Yes","No"))</f>
        <v>No</v>
      </c>
    </row>
    <row r="23" spans="1:78" x14ac:dyDescent="0.35">
      <c r="A23" s="76" t="s">
        <v>246</v>
      </c>
      <c r="B23" s="243">
        <v>2</v>
      </c>
      <c r="C23" s="262" t="s">
        <v>224</v>
      </c>
      <c r="D23" s="243" t="s">
        <v>225</v>
      </c>
      <c r="E23" s="243"/>
      <c r="F23" s="84">
        <f t="shared" si="0"/>
        <v>5</v>
      </c>
      <c r="G23" s="244">
        <v>17</v>
      </c>
      <c r="H23" s="244">
        <v>18</v>
      </c>
      <c r="I23" s="244">
        <v>19</v>
      </c>
      <c r="J23" s="244">
        <v>20</v>
      </c>
      <c r="K23" s="244">
        <v>21</v>
      </c>
      <c r="L23" s="244"/>
      <c r="M23" s="244"/>
      <c r="N23" s="244"/>
      <c r="O23" s="244"/>
      <c r="P23" s="244"/>
      <c r="Q23" s="244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4"/>
      <c r="BK23" s="244"/>
      <c r="BL23" s="244">
        <v>17</v>
      </c>
      <c r="BM23" s="243"/>
      <c r="BN23" s="243">
        <v>21</v>
      </c>
      <c r="BO23" s="243"/>
      <c r="BP23" s="243" t="s">
        <v>226</v>
      </c>
      <c r="BQ23" s="244" t="s">
        <v>184</v>
      </c>
      <c r="BR23" s="244"/>
      <c r="BS23" s="243"/>
      <c r="BT23" s="243"/>
      <c r="BU23" s="245">
        <f t="shared" si="1"/>
        <v>0</v>
      </c>
      <c r="BV23" s="245">
        <f t="shared" si="1"/>
        <v>0</v>
      </c>
      <c r="BW23" s="245">
        <f t="shared" si="1"/>
        <v>0</v>
      </c>
      <c r="BX23" s="245">
        <f t="shared" si="1"/>
        <v>1</v>
      </c>
      <c r="BY23" s="246" t="str">
        <f>IF($BU23=0,"N/A",IF(AND($BP23="Level 1-6 (3-57 point)",MIN($G23:$BK23)&lt;Thresholds_Rates!$C$13),"Yes","No"))</f>
        <v>N/A</v>
      </c>
      <c r="BZ23" s="246" t="str">
        <f>IF(SUM($BW23:$BX23)=0,"N/A",IF(AND($BP23="Level 1-6 (3-57 point)",MAX($G23:$BK23)&gt;Thresholds_Rates!$C$14),"Yes","No"))</f>
        <v>No</v>
      </c>
    </row>
    <row r="24" spans="1:78" x14ac:dyDescent="0.35">
      <c r="A24" s="76" t="s">
        <v>247</v>
      </c>
      <c r="B24" s="243">
        <v>2</v>
      </c>
      <c r="C24" s="262" t="s">
        <v>336</v>
      </c>
      <c r="D24" s="262" t="s">
        <v>337</v>
      </c>
      <c r="E24" s="243"/>
      <c r="F24" s="268">
        <f t="shared" ref="F24:F54" si="2">IF(A24="","",COUNTA(G24:BK24))</f>
        <v>3</v>
      </c>
      <c r="G24" s="244">
        <v>10</v>
      </c>
      <c r="H24" s="244">
        <v>11</v>
      </c>
      <c r="I24" s="244">
        <v>12</v>
      </c>
      <c r="J24" s="244"/>
      <c r="K24" s="244"/>
      <c r="L24" s="244"/>
      <c r="M24" s="244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4">
        <v>10</v>
      </c>
      <c r="BM24" s="244">
        <v>11</v>
      </c>
      <c r="BN24" s="244"/>
      <c r="BO24" s="243"/>
      <c r="BP24" s="243" t="s">
        <v>226</v>
      </c>
      <c r="BQ24" s="244" t="s">
        <v>183</v>
      </c>
      <c r="BR24" s="244" t="s">
        <v>184</v>
      </c>
      <c r="BS24" s="243"/>
      <c r="BT24" s="243"/>
      <c r="BU24" s="244">
        <f t="shared" si="1"/>
        <v>0</v>
      </c>
      <c r="BV24" s="244">
        <f t="shared" si="1"/>
        <v>0</v>
      </c>
      <c r="BW24" s="244">
        <f t="shared" si="1"/>
        <v>1</v>
      </c>
      <c r="BX24" s="244">
        <f t="shared" si="1"/>
        <v>1</v>
      </c>
      <c r="BY24" s="243" t="str">
        <f>IF($BU24=0,"N/A",IF(AND($BP24="Level 1-6 (3-57 point)",MIN($G24:$BK24)&lt;Thresholds_Rates!$C$13),"Yes","No"))</f>
        <v>N/A</v>
      </c>
      <c r="BZ24" s="243" t="str">
        <f>IF(SUM($BW24:$BX24)=0,"N/A",IF(AND($BP24="Level 1-6 (3-57 point)",MAX($G24:$BK24)&gt;Thresholds_Rates!$C$14),"Yes","No"))</f>
        <v>No</v>
      </c>
    </row>
    <row r="25" spans="1:78" x14ac:dyDescent="0.35">
      <c r="A25" s="76" t="s">
        <v>248</v>
      </c>
      <c r="B25" s="243">
        <v>2</v>
      </c>
      <c r="C25" s="262" t="s">
        <v>336</v>
      </c>
      <c r="D25" s="262" t="s">
        <v>337</v>
      </c>
      <c r="E25" s="243"/>
      <c r="F25" s="268">
        <f t="shared" si="2"/>
        <v>8</v>
      </c>
      <c r="G25" s="244">
        <v>13</v>
      </c>
      <c r="H25" s="244">
        <v>14</v>
      </c>
      <c r="I25" s="244">
        <v>15</v>
      </c>
      <c r="J25" s="244">
        <v>16</v>
      </c>
      <c r="K25" s="244">
        <v>17</v>
      </c>
      <c r="L25" s="244">
        <v>18</v>
      </c>
      <c r="M25" s="244">
        <v>19</v>
      </c>
      <c r="N25" s="243">
        <v>20</v>
      </c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4">
        <v>13</v>
      </c>
      <c r="BM25" s="244">
        <v>17</v>
      </c>
      <c r="BN25" s="244"/>
      <c r="BO25" s="243"/>
      <c r="BP25" s="243" t="s">
        <v>226</v>
      </c>
      <c r="BQ25" s="244" t="s">
        <v>183</v>
      </c>
      <c r="BR25" s="244" t="s">
        <v>184</v>
      </c>
      <c r="BS25" s="243"/>
      <c r="BT25" s="243"/>
      <c r="BU25" s="244">
        <f t="shared" si="1"/>
        <v>0</v>
      </c>
      <c r="BV25" s="244">
        <f t="shared" si="1"/>
        <v>0</v>
      </c>
      <c r="BW25" s="244">
        <f t="shared" si="1"/>
        <v>1</v>
      </c>
      <c r="BX25" s="244">
        <f t="shared" si="1"/>
        <v>1</v>
      </c>
      <c r="BY25" s="243" t="str">
        <f>IF($BU25=0,"N/A",IF(AND($BP25="Level 1-6 (3-57 point)",MIN($G25:$BK25)&lt;Thresholds_Rates!$C$13),"Yes","No"))</f>
        <v>N/A</v>
      </c>
      <c r="BZ25" s="243" t="str">
        <f>IF(SUM($BW25:$BX25)=0,"N/A",IF(AND($BP25="Level 1-6 (3-57 point)",MAX($G25:$BK25)&gt;Thresholds_Rates!$C$14),"Yes","No"))</f>
        <v>No</v>
      </c>
    </row>
    <row r="26" spans="1:78" x14ac:dyDescent="0.35">
      <c r="A26" s="243" t="s">
        <v>167</v>
      </c>
      <c r="B26" s="243">
        <v>2</v>
      </c>
      <c r="C26" s="243" t="s">
        <v>249</v>
      </c>
      <c r="D26" s="243" t="s">
        <v>250</v>
      </c>
      <c r="E26" s="247"/>
      <c r="F26" s="84">
        <f t="shared" si="2"/>
        <v>5</v>
      </c>
      <c r="G26" s="244">
        <v>1</v>
      </c>
      <c r="H26" s="244">
        <v>2</v>
      </c>
      <c r="I26" s="244">
        <v>3</v>
      </c>
      <c r="J26" s="244">
        <v>4</v>
      </c>
      <c r="K26" s="244">
        <v>5</v>
      </c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 t="s">
        <v>251</v>
      </c>
      <c r="BQ26" s="244" t="s">
        <v>181</v>
      </c>
      <c r="BR26" s="244" t="s">
        <v>182</v>
      </c>
      <c r="BS26" s="243"/>
      <c r="BT26" s="243"/>
      <c r="BU26" s="245">
        <f t="shared" si="1"/>
        <v>1</v>
      </c>
      <c r="BV26" s="245">
        <f t="shared" si="1"/>
        <v>1</v>
      </c>
      <c r="BW26" s="245">
        <f t="shared" si="1"/>
        <v>0</v>
      </c>
      <c r="BX26" s="245">
        <f t="shared" si="1"/>
        <v>0</v>
      </c>
      <c r="BY26" s="246" t="str">
        <f>IF($BU26=0,"N/A",IF(AND($BP26="Level 1-6 (3-57 point)",MIN($G26:$BK26)&lt;Thresholds_Rates!$C$13),"Yes","No"))</f>
        <v>No</v>
      </c>
      <c r="BZ26" s="246" t="str">
        <f>IF(SUM($BW26:$BX26)=0,"N/A",IF(AND($BP26="Level 1-6 (3-57 point)",MAX($G26:$BK26)&gt;Thresholds_Rates!$C$14),"Yes","No"))</f>
        <v>N/A</v>
      </c>
    </row>
    <row r="27" spans="1:78" x14ac:dyDescent="0.35">
      <c r="A27" s="76" t="s">
        <v>252</v>
      </c>
      <c r="B27" s="243">
        <v>2</v>
      </c>
      <c r="C27" s="243" t="s">
        <v>253</v>
      </c>
      <c r="D27" s="243" t="s">
        <v>254</v>
      </c>
      <c r="E27" s="243"/>
      <c r="F27" s="84">
        <f t="shared" si="2"/>
        <v>5</v>
      </c>
      <c r="G27" s="244">
        <v>19</v>
      </c>
      <c r="H27" s="244">
        <v>20</v>
      </c>
      <c r="I27" s="244">
        <v>21</v>
      </c>
      <c r="J27" s="244">
        <v>22</v>
      </c>
      <c r="K27" s="244">
        <v>23</v>
      </c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4"/>
      <c r="BM27" s="244"/>
      <c r="BN27" s="244"/>
      <c r="BO27" s="243"/>
      <c r="BP27" s="243" t="s">
        <v>251</v>
      </c>
      <c r="BQ27" s="244" t="s">
        <v>181</v>
      </c>
      <c r="BR27" s="244" t="s">
        <v>182</v>
      </c>
      <c r="BS27" s="243"/>
      <c r="BT27" s="243"/>
      <c r="BU27" s="245">
        <f t="shared" si="1"/>
        <v>1</v>
      </c>
      <c r="BV27" s="245">
        <f t="shared" si="1"/>
        <v>1</v>
      </c>
      <c r="BW27" s="245">
        <f t="shared" si="1"/>
        <v>0</v>
      </c>
      <c r="BX27" s="245">
        <f t="shared" si="1"/>
        <v>0</v>
      </c>
      <c r="BY27" s="246" t="str">
        <f>IF($BU27=0,"N/A",IF(AND($BP27="Level 1-6 (3-57 point)",MIN($G27:$BK27)&lt;Thresholds_Rates!$C$13),"Yes","No"))</f>
        <v>No</v>
      </c>
      <c r="BZ27" s="246" t="str">
        <f>IF(SUM($BW27:$BX27)=0,"N/A",IF(AND($BP27="Level 1-6 (3-57 point)",MAX($G27:$BK27)&gt;Thresholds_Rates!$C$14),"Yes","No"))</f>
        <v>N/A</v>
      </c>
    </row>
    <row r="28" spans="1:78" x14ac:dyDescent="0.35">
      <c r="A28" s="76" t="s">
        <v>255</v>
      </c>
      <c r="B28" s="243">
        <v>2</v>
      </c>
      <c r="C28" s="243" t="s">
        <v>253</v>
      </c>
      <c r="D28" s="243" t="s">
        <v>254</v>
      </c>
      <c r="E28" s="243"/>
      <c r="F28" s="84">
        <f t="shared" si="2"/>
        <v>11</v>
      </c>
      <c r="G28" s="244">
        <v>1</v>
      </c>
      <c r="H28" s="244">
        <v>2</v>
      </c>
      <c r="I28" s="244">
        <v>3</v>
      </c>
      <c r="J28" s="244">
        <v>4</v>
      </c>
      <c r="K28" s="244">
        <v>5</v>
      </c>
      <c r="L28" s="244">
        <v>6</v>
      </c>
      <c r="M28" s="244">
        <v>7</v>
      </c>
      <c r="N28" s="244">
        <v>8</v>
      </c>
      <c r="O28" s="244">
        <v>9</v>
      </c>
      <c r="P28" s="244">
        <v>10</v>
      </c>
      <c r="Q28" s="244">
        <v>11</v>
      </c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4"/>
      <c r="BM28" s="244"/>
      <c r="BN28" s="244"/>
      <c r="BO28" s="243"/>
      <c r="BP28" s="243" t="s">
        <v>251</v>
      </c>
      <c r="BQ28" s="244" t="s">
        <v>181</v>
      </c>
      <c r="BR28" s="244" t="s">
        <v>182</v>
      </c>
      <c r="BS28" s="243"/>
      <c r="BT28" s="243"/>
      <c r="BU28" s="245">
        <f t="shared" si="1"/>
        <v>1</v>
      </c>
      <c r="BV28" s="245">
        <f t="shared" si="1"/>
        <v>1</v>
      </c>
      <c r="BW28" s="245">
        <f t="shared" si="1"/>
        <v>0</v>
      </c>
      <c r="BX28" s="245">
        <f t="shared" si="1"/>
        <v>0</v>
      </c>
      <c r="BY28" s="246" t="str">
        <f>IF($BU28=0,"N/A",IF(AND($BP28="Level 1-6 (3-57 point)",MIN($G28:$BK28)&lt;Thresholds_Rates!$C$13),"Yes","No"))</f>
        <v>No</v>
      </c>
      <c r="BZ28" s="246" t="str">
        <f>IF(SUM($BW28:$BX28)=0,"N/A",IF(AND($BP28="Level 1-6 (3-57 point)",MAX($G28:$BK28)&gt;Thresholds_Rates!$C$14),"Yes","No"))</f>
        <v>N/A</v>
      </c>
    </row>
    <row r="29" spans="1:78" x14ac:dyDescent="0.35">
      <c r="A29" s="76" t="s">
        <v>256</v>
      </c>
      <c r="B29" s="243">
        <v>2</v>
      </c>
      <c r="C29" s="243" t="s">
        <v>257</v>
      </c>
      <c r="D29" s="243" t="s">
        <v>258</v>
      </c>
      <c r="E29" s="243"/>
      <c r="F29" s="84">
        <f t="shared" si="2"/>
        <v>5</v>
      </c>
      <c r="G29" s="244">
        <v>1</v>
      </c>
      <c r="H29" s="244">
        <v>2</v>
      </c>
      <c r="I29" s="244">
        <v>3</v>
      </c>
      <c r="J29" s="244">
        <v>4</v>
      </c>
      <c r="K29" s="244">
        <v>5</v>
      </c>
      <c r="L29" s="244"/>
      <c r="M29" s="244"/>
      <c r="N29" s="244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4"/>
      <c r="BM29" s="244"/>
      <c r="BN29" s="244"/>
      <c r="BO29" s="243"/>
      <c r="BP29" s="243" t="s">
        <v>251</v>
      </c>
      <c r="BQ29" s="244" t="s">
        <v>181</v>
      </c>
      <c r="BR29" s="244" t="s">
        <v>182</v>
      </c>
      <c r="BS29" s="243"/>
      <c r="BT29" s="243"/>
      <c r="BU29" s="245">
        <f t="shared" si="1"/>
        <v>1</v>
      </c>
      <c r="BV29" s="245">
        <f t="shared" si="1"/>
        <v>1</v>
      </c>
      <c r="BW29" s="245">
        <f t="shared" si="1"/>
        <v>0</v>
      </c>
      <c r="BX29" s="245">
        <f t="shared" si="1"/>
        <v>0</v>
      </c>
      <c r="BY29" s="246" t="str">
        <f>IF($BU29=0,"N/A",IF(AND($BP29="Level 1-6 (3-57 point)",MIN($G29:$BK29)&lt;Thresholds_Rates!$C$13),"Yes","No"))</f>
        <v>No</v>
      </c>
      <c r="BZ29" s="246" t="str">
        <f>IF(SUM($BW29:$BX29)=0,"N/A",IF(AND($BP29="Level 1-6 (3-57 point)",MAX($G29:$BK29)&gt;Thresholds_Rates!$C$14),"Yes","No"))</f>
        <v>N/A</v>
      </c>
    </row>
    <row r="30" spans="1:78" ht="70.5" x14ac:dyDescent="0.35">
      <c r="A30" s="76" t="s">
        <v>259</v>
      </c>
      <c r="B30" s="243">
        <v>2</v>
      </c>
      <c r="C30" s="243" t="s">
        <v>224</v>
      </c>
      <c r="D30" s="243" t="s">
        <v>225</v>
      </c>
      <c r="E30" s="304" t="s">
        <v>359</v>
      </c>
      <c r="F30" s="84">
        <f t="shared" si="2"/>
        <v>3</v>
      </c>
      <c r="G30" s="244">
        <v>10</v>
      </c>
      <c r="H30" s="244">
        <v>11</v>
      </c>
      <c r="I30" s="244">
        <v>12</v>
      </c>
      <c r="J30" s="244"/>
      <c r="K30" s="244"/>
      <c r="L30" s="244"/>
      <c r="M30" s="244"/>
      <c r="N30" s="244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4">
        <v>8</v>
      </c>
      <c r="BM30" s="244">
        <v>11</v>
      </c>
      <c r="BN30" s="244">
        <v>12</v>
      </c>
      <c r="BO30" s="243"/>
      <c r="BP30" s="243" t="s">
        <v>226</v>
      </c>
      <c r="BQ30" s="244" t="s">
        <v>183</v>
      </c>
      <c r="BR30" s="244" t="s">
        <v>184</v>
      </c>
      <c r="BS30" s="243"/>
      <c r="BT30" s="243"/>
      <c r="BU30" s="245">
        <f t="shared" si="1"/>
        <v>0</v>
      </c>
      <c r="BV30" s="245">
        <f t="shared" si="1"/>
        <v>0</v>
      </c>
      <c r="BW30" s="245">
        <f t="shared" si="1"/>
        <v>1</v>
      </c>
      <c r="BX30" s="245">
        <f t="shared" si="1"/>
        <v>1</v>
      </c>
      <c r="BY30" s="246" t="str">
        <f>IF($BU30=0,"N/A",IF(AND($BP30="Level 1-6 (3-57 point)",MIN($G30:$BK30)&lt;Thresholds_Rates!$C$13),"Yes","No"))</f>
        <v>N/A</v>
      </c>
      <c r="BZ30" s="246" t="str">
        <f>IF(SUM($BW30:$BX30)=0,"N/A",IF(AND($BP30="Level 1-6 (3-57 point)",MAX($G30:$BK30)&gt;Thresholds_Rates!$C$14),"Yes","No"))</f>
        <v>No</v>
      </c>
    </row>
    <row r="31" spans="1:78" ht="70.5" x14ac:dyDescent="0.35">
      <c r="A31" s="76" t="s">
        <v>260</v>
      </c>
      <c r="B31" s="243">
        <v>2</v>
      </c>
      <c r="C31" s="243" t="s">
        <v>224</v>
      </c>
      <c r="D31" s="243" t="s">
        <v>225</v>
      </c>
      <c r="E31" s="304" t="s">
        <v>359</v>
      </c>
      <c r="F31" s="84">
        <f t="shared" si="2"/>
        <v>9</v>
      </c>
      <c r="G31" s="244">
        <v>13</v>
      </c>
      <c r="H31" s="244">
        <v>14</v>
      </c>
      <c r="I31" s="244">
        <v>15</v>
      </c>
      <c r="J31" s="244">
        <v>16</v>
      </c>
      <c r="K31" s="244">
        <v>17</v>
      </c>
      <c r="L31" s="244">
        <v>18</v>
      </c>
      <c r="M31" s="244">
        <v>19</v>
      </c>
      <c r="N31" s="244">
        <v>20</v>
      </c>
      <c r="O31" s="243">
        <v>21</v>
      </c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4">
        <v>13</v>
      </c>
      <c r="BM31" s="244">
        <v>18</v>
      </c>
      <c r="BN31" s="244">
        <v>21</v>
      </c>
      <c r="BO31" s="243"/>
      <c r="BP31" s="243"/>
      <c r="BQ31" s="244" t="s">
        <v>183</v>
      </c>
      <c r="BR31" s="244" t="s">
        <v>184</v>
      </c>
      <c r="BS31" s="243"/>
      <c r="BT31" s="243"/>
      <c r="BU31" s="245">
        <f t="shared" si="1"/>
        <v>0</v>
      </c>
      <c r="BV31" s="245">
        <f t="shared" si="1"/>
        <v>0</v>
      </c>
      <c r="BW31" s="245">
        <f t="shared" si="1"/>
        <v>1</v>
      </c>
      <c r="BX31" s="245">
        <f t="shared" si="1"/>
        <v>1</v>
      </c>
      <c r="BY31" s="246" t="str">
        <f>IF($BU31=0,"N/A",IF(AND($BP31="Level 1-6 (3-57 point)",MIN($G31:$BK31)&lt;Thresholds_Rates!$C$13),"Yes","No"))</f>
        <v>N/A</v>
      </c>
      <c r="BZ31" s="246" t="str">
        <f>IF(SUM($BW31:$BX31)=0,"N/A",IF(AND($BP31="Level 1-6 (3-57 point)",MAX($G31:$BK31)&gt;Thresholds_Rates!$C$14),"Yes","No"))</f>
        <v>No</v>
      </c>
    </row>
    <row r="32" spans="1:78" ht="70.5" x14ac:dyDescent="0.35">
      <c r="A32" s="76" t="s">
        <v>261</v>
      </c>
      <c r="B32" s="243">
        <v>2</v>
      </c>
      <c r="C32" s="243" t="s">
        <v>224</v>
      </c>
      <c r="D32" s="243" t="s">
        <v>225</v>
      </c>
      <c r="E32" s="304" t="s">
        <v>359</v>
      </c>
      <c r="F32" s="84">
        <f t="shared" si="2"/>
        <v>11</v>
      </c>
      <c r="G32" s="244">
        <v>20</v>
      </c>
      <c r="H32" s="244">
        <v>21</v>
      </c>
      <c r="I32" s="244">
        <v>22</v>
      </c>
      <c r="J32" s="244">
        <v>23</v>
      </c>
      <c r="K32" s="244">
        <v>24</v>
      </c>
      <c r="L32" s="244">
        <v>25</v>
      </c>
      <c r="M32" s="244">
        <v>26</v>
      </c>
      <c r="N32" s="244">
        <v>27</v>
      </c>
      <c r="O32" s="244">
        <v>28</v>
      </c>
      <c r="P32" s="243">
        <v>29</v>
      </c>
      <c r="Q32" s="243">
        <v>30</v>
      </c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4">
        <v>20</v>
      </c>
      <c r="BM32" s="244">
        <v>27</v>
      </c>
      <c r="BN32" s="244">
        <v>30</v>
      </c>
      <c r="BO32" s="243"/>
      <c r="BP32" s="243" t="s">
        <v>226</v>
      </c>
      <c r="BQ32" s="244" t="s">
        <v>183</v>
      </c>
      <c r="BR32" s="244" t="s">
        <v>184</v>
      </c>
      <c r="BS32" s="243"/>
      <c r="BT32" s="243"/>
      <c r="BU32" s="245">
        <f t="shared" si="1"/>
        <v>0</v>
      </c>
      <c r="BV32" s="245">
        <f t="shared" si="1"/>
        <v>0</v>
      </c>
      <c r="BW32" s="245">
        <f t="shared" si="1"/>
        <v>1</v>
      </c>
      <c r="BX32" s="245">
        <f t="shared" si="1"/>
        <v>1</v>
      </c>
      <c r="BY32" s="246" t="str">
        <f>IF($BU32=0,"N/A",IF(AND($BP32="Level 1-6 (3-57 point)",MIN($G32:$BK32)&lt;Thresholds_Rates!$C$13),"Yes","No"))</f>
        <v>N/A</v>
      </c>
      <c r="BZ32" s="246" t="str">
        <f>IF(SUM($BW32:$BX32)=0,"N/A",IF(AND($BP32="Level 1-6 (3-57 point)",MAX($G32:$BK32)&gt;Thresholds_Rates!$C$14),"Yes","No"))</f>
        <v>No</v>
      </c>
    </row>
    <row r="33" spans="1:78" x14ac:dyDescent="0.35">
      <c r="A33" s="76" t="s">
        <v>262</v>
      </c>
      <c r="B33" s="243">
        <v>2</v>
      </c>
      <c r="C33" s="243" t="s">
        <v>228</v>
      </c>
      <c r="D33" s="243" t="s">
        <v>229</v>
      </c>
      <c r="E33" s="243"/>
      <c r="F33" s="84">
        <f t="shared" si="2"/>
        <v>13</v>
      </c>
      <c r="G33" s="244">
        <v>27</v>
      </c>
      <c r="H33" s="244">
        <v>28</v>
      </c>
      <c r="I33" s="244">
        <v>29</v>
      </c>
      <c r="J33" s="244">
        <v>30</v>
      </c>
      <c r="K33" s="244">
        <v>31</v>
      </c>
      <c r="L33" s="244">
        <v>32</v>
      </c>
      <c r="M33" s="244">
        <v>33</v>
      </c>
      <c r="N33" s="244">
        <v>34</v>
      </c>
      <c r="O33" s="244">
        <v>35</v>
      </c>
      <c r="P33" s="244">
        <v>36</v>
      </c>
      <c r="Q33" s="244">
        <v>37</v>
      </c>
      <c r="R33" s="244">
        <v>38</v>
      </c>
      <c r="S33" s="244">
        <v>39</v>
      </c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3"/>
      <c r="BC33" s="243"/>
      <c r="BD33" s="243"/>
      <c r="BE33" s="243"/>
      <c r="BF33" s="243"/>
      <c r="BG33" s="243"/>
      <c r="BH33" s="243"/>
      <c r="BI33" s="243"/>
      <c r="BJ33" s="243"/>
      <c r="BK33" s="243"/>
      <c r="BL33" s="244">
        <v>27</v>
      </c>
      <c r="BM33" s="244">
        <v>37</v>
      </c>
      <c r="BN33" s="244">
        <v>39</v>
      </c>
      <c r="BO33" s="243"/>
      <c r="BP33" s="243" t="s">
        <v>226</v>
      </c>
      <c r="BQ33" s="244" t="s">
        <v>181</v>
      </c>
      <c r="BR33" s="243"/>
      <c r="BS33" s="243"/>
      <c r="BT33" s="243"/>
      <c r="BU33" s="245">
        <f t="shared" ref="BU33:BX41" si="3">COUNTIF($BQ33:$BT33,BU$6)</f>
        <v>1</v>
      </c>
      <c r="BV33" s="245">
        <f t="shared" si="3"/>
        <v>0</v>
      </c>
      <c r="BW33" s="245">
        <f t="shared" si="3"/>
        <v>0</v>
      </c>
      <c r="BX33" s="245">
        <f t="shared" si="3"/>
        <v>0</v>
      </c>
      <c r="BY33" s="246" t="str">
        <f>IF($BU33=0,"N/A",IF(AND($BP33="Level 1-6 (3-57 point)",MIN($G33:$BK33)&lt;Thresholds_Rates!$C$13),"Yes","No"))</f>
        <v>No</v>
      </c>
      <c r="BZ33" s="246" t="str">
        <f>IF(SUM($BW33:$BX33)=0,"N/A",IF(AND($BP33="Level 1-6 (3-57 point)",MAX($G33:$BK33)&gt;Thresholds_Rates!$C$14),"Yes","No"))</f>
        <v>N/A</v>
      </c>
    </row>
    <row r="34" spans="1:78" x14ac:dyDescent="0.35">
      <c r="A34" s="76" t="s">
        <v>263</v>
      </c>
      <c r="B34" s="243">
        <v>2</v>
      </c>
      <c r="C34" s="243" t="s">
        <v>228</v>
      </c>
      <c r="D34" s="243" t="s">
        <v>229</v>
      </c>
      <c r="E34" s="243"/>
      <c r="F34" s="84">
        <f t="shared" si="2"/>
        <v>4</v>
      </c>
      <c r="G34" s="244">
        <v>23</v>
      </c>
      <c r="H34" s="244">
        <v>24</v>
      </c>
      <c r="I34" s="244">
        <v>26</v>
      </c>
      <c r="J34" s="244">
        <v>27</v>
      </c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4">
        <v>23</v>
      </c>
      <c r="BM34" s="244"/>
      <c r="BN34" s="244"/>
      <c r="BO34" s="243"/>
      <c r="BP34" s="243" t="s">
        <v>226</v>
      </c>
      <c r="BQ34" s="244" t="s">
        <v>181</v>
      </c>
      <c r="BR34" s="243"/>
      <c r="BS34" s="243"/>
      <c r="BT34" s="243"/>
      <c r="BU34" s="245">
        <f t="shared" si="3"/>
        <v>1</v>
      </c>
      <c r="BV34" s="245">
        <f t="shared" si="3"/>
        <v>0</v>
      </c>
      <c r="BW34" s="245">
        <f t="shared" si="3"/>
        <v>0</v>
      </c>
      <c r="BX34" s="245">
        <f t="shared" si="3"/>
        <v>0</v>
      </c>
      <c r="BY34" s="246" t="str">
        <f>IF($BU34=0,"N/A",IF(AND($BP34="Level 1-6 (3-57 point)",MIN($G34:$BK34)&lt;Thresholds_Rates!$C$13),"Yes","No"))</f>
        <v>No</v>
      </c>
      <c r="BZ34" s="246" t="str">
        <f>IF(SUM($BW34:$BX34)=0,"N/A",IF(AND($BP34="Level 1-6 (3-57 point)",MAX($G34:$BK34)&gt;Thresholds_Rates!$C$14),"Yes","No"))</f>
        <v>N/A</v>
      </c>
    </row>
    <row r="35" spans="1:78" x14ac:dyDescent="0.35">
      <c r="A35" s="76" t="s">
        <v>264</v>
      </c>
      <c r="B35" s="243">
        <v>2</v>
      </c>
      <c r="C35" s="243" t="s">
        <v>228</v>
      </c>
      <c r="D35" s="243" t="s">
        <v>229</v>
      </c>
      <c r="E35" s="243"/>
      <c r="F35" s="84">
        <f t="shared" si="2"/>
        <v>7</v>
      </c>
      <c r="G35" s="244">
        <v>23</v>
      </c>
      <c r="H35" s="244">
        <v>24</v>
      </c>
      <c r="I35" s="244">
        <v>26</v>
      </c>
      <c r="J35" s="244">
        <v>27</v>
      </c>
      <c r="K35" s="244">
        <v>28</v>
      </c>
      <c r="L35" s="244">
        <v>29</v>
      </c>
      <c r="M35" s="244">
        <v>30</v>
      </c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4">
        <v>23</v>
      </c>
      <c r="BM35" s="244">
        <v>27</v>
      </c>
      <c r="BN35" s="244">
        <v>30</v>
      </c>
      <c r="BO35" s="243"/>
      <c r="BP35" s="243" t="s">
        <v>226</v>
      </c>
      <c r="BQ35" s="244" t="s">
        <v>181</v>
      </c>
      <c r="BR35" s="243"/>
      <c r="BS35" s="243"/>
      <c r="BT35" s="243"/>
      <c r="BU35" s="245">
        <f t="shared" si="3"/>
        <v>1</v>
      </c>
      <c r="BV35" s="245">
        <f t="shared" si="3"/>
        <v>0</v>
      </c>
      <c r="BW35" s="245">
        <f t="shared" si="3"/>
        <v>0</v>
      </c>
      <c r="BX35" s="245">
        <f t="shared" si="3"/>
        <v>0</v>
      </c>
      <c r="BY35" s="246" t="str">
        <f>IF($BU35=0,"N/A",IF(AND($BP35="Level 1-6 (3-57 point)",MIN($G35:$BK35)&lt;Thresholds_Rates!$C$13),"Yes","No"))</f>
        <v>No</v>
      </c>
      <c r="BZ35" s="246" t="str">
        <f>IF(SUM($BW35:$BX35)=0,"N/A",IF(AND($BP35="Level 1-6 (3-57 point)",MAX($G35:$BK35)&gt;Thresholds_Rates!$C$14),"Yes","No"))</f>
        <v>N/A</v>
      </c>
    </row>
    <row r="36" spans="1:78" x14ac:dyDescent="0.35">
      <c r="A36" s="76" t="s">
        <v>265</v>
      </c>
      <c r="B36" s="243">
        <v>2</v>
      </c>
      <c r="C36" s="243" t="s">
        <v>228</v>
      </c>
      <c r="D36" s="243" t="s">
        <v>229</v>
      </c>
      <c r="E36" s="243"/>
      <c r="F36" s="84">
        <f t="shared" si="2"/>
        <v>13</v>
      </c>
      <c r="G36" s="244">
        <v>36</v>
      </c>
      <c r="H36" s="244">
        <v>37</v>
      </c>
      <c r="I36" s="244">
        <v>38</v>
      </c>
      <c r="J36" s="244">
        <v>39</v>
      </c>
      <c r="K36" s="244">
        <v>40</v>
      </c>
      <c r="L36" s="244">
        <v>41</v>
      </c>
      <c r="M36" s="244">
        <v>42</v>
      </c>
      <c r="N36" s="244">
        <v>43</v>
      </c>
      <c r="O36" s="244">
        <v>44</v>
      </c>
      <c r="P36" s="244">
        <v>45</v>
      </c>
      <c r="Q36" s="244">
        <v>46</v>
      </c>
      <c r="R36" s="244">
        <v>47</v>
      </c>
      <c r="S36" s="244">
        <v>48</v>
      </c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4">
        <v>36</v>
      </c>
      <c r="BM36" s="244">
        <v>44</v>
      </c>
      <c r="BN36" s="244">
        <v>48</v>
      </c>
      <c r="BO36" s="243"/>
      <c r="BP36" s="243" t="s">
        <v>226</v>
      </c>
      <c r="BQ36" s="244" t="s">
        <v>181</v>
      </c>
      <c r="BR36" s="243"/>
      <c r="BS36" s="243"/>
      <c r="BT36" s="243"/>
      <c r="BU36" s="245">
        <f t="shared" si="3"/>
        <v>1</v>
      </c>
      <c r="BV36" s="245">
        <f t="shared" si="3"/>
        <v>0</v>
      </c>
      <c r="BW36" s="245">
        <f t="shared" si="3"/>
        <v>0</v>
      </c>
      <c r="BX36" s="245">
        <f t="shared" si="3"/>
        <v>0</v>
      </c>
      <c r="BY36" s="246" t="str">
        <f>IF($BU36=0,"N/A",IF(AND($BP36="Level 1-6 (3-57 point)",MIN($G36:$BK36)&lt;Thresholds_Rates!$C$13),"Yes","No"))</f>
        <v>No</v>
      </c>
      <c r="BZ36" s="246" t="str">
        <f>IF(SUM($BW36:$BX36)=0,"N/A",IF(AND($BP36="Level 1-6 (3-57 point)",MAX($G36:$BK36)&gt;Thresholds_Rates!$C$14),"Yes","No"))</f>
        <v>N/A</v>
      </c>
    </row>
    <row r="37" spans="1:78" x14ac:dyDescent="0.35">
      <c r="A37" s="76" t="s">
        <v>266</v>
      </c>
      <c r="B37" s="243">
        <v>2</v>
      </c>
      <c r="C37" s="243" t="s">
        <v>267</v>
      </c>
      <c r="D37" s="243" t="s">
        <v>268</v>
      </c>
      <c r="E37" s="243"/>
      <c r="F37" s="84">
        <f t="shared" si="2"/>
        <v>13</v>
      </c>
      <c r="G37" s="244">
        <v>36</v>
      </c>
      <c r="H37" s="244">
        <v>37</v>
      </c>
      <c r="I37" s="244">
        <v>38</v>
      </c>
      <c r="J37" s="244">
        <v>39</v>
      </c>
      <c r="K37" s="244">
        <v>40</v>
      </c>
      <c r="L37" s="244">
        <v>41</v>
      </c>
      <c r="M37" s="244">
        <v>42</v>
      </c>
      <c r="N37" s="244">
        <v>43</v>
      </c>
      <c r="O37" s="244">
        <v>44</v>
      </c>
      <c r="P37" s="244">
        <v>45</v>
      </c>
      <c r="Q37" s="244">
        <v>46</v>
      </c>
      <c r="R37" s="244">
        <v>47</v>
      </c>
      <c r="S37" s="244">
        <v>48</v>
      </c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4">
        <v>36</v>
      </c>
      <c r="BM37" s="244">
        <v>44</v>
      </c>
      <c r="BN37" s="244">
        <v>48</v>
      </c>
      <c r="BO37" s="243" t="s">
        <v>269</v>
      </c>
      <c r="BP37" s="243" t="s">
        <v>226</v>
      </c>
      <c r="BQ37" s="244" t="s">
        <v>181</v>
      </c>
      <c r="BR37" s="243"/>
      <c r="BS37" s="243"/>
      <c r="BT37" s="243"/>
      <c r="BU37" s="245">
        <f t="shared" si="3"/>
        <v>1</v>
      </c>
      <c r="BV37" s="245">
        <f t="shared" si="3"/>
        <v>0</v>
      </c>
      <c r="BW37" s="245">
        <f t="shared" si="3"/>
        <v>0</v>
      </c>
      <c r="BX37" s="245">
        <f t="shared" si="3"/>
        <v>0</v>
      </c>
      <c r="BY37" s="246" t="str">
        <f>IF($BU37=0,"N/A",IF(AND($BP37="Level 1-6 (3-57 point)",MIN($G37:$BK37)&lt;Thresholds_Rates!$C$13),"Yes","No"))</f>
        <v>No</v>
      </c>
      <c r="BZ37" s="246" t="str">
        <f>IF(SUM($BW37:$BX37)=0,"N/A",IF(AND($BP37="Level 1-6 (3-57 point)",MAX($G37:$BK37)&gt;Thresholds_Rates!$C$14),"Yes","No"))</f>
        <v>N/A</v>
      </c>
    </row>
    <row r="38" spans="1:78" x14ac:dyDescent="0.35">
      <c r="A38" s="76" t="s">
        <v>270</v>
      </c>
      <c r="B38" s="243">
        <v>2</v>
      </c>
      <c r="C38" s="243" t="s">
        <v>228</v>
      </c>
      <c r="D38" s="243" t="s">
        <v>229</v>
      </c>
      <c r="E38" s="243"/>
      <c r="F38" s="84">
        <f t="shared" si="2"/>
        <v>16</v>
      </c>
      <c r="G38" s="244">
        <v>33</v>
      </c>
      <c r="H38" s="244">
        <v>34</v>
      </c>
      <c r="I38" s="244">
        <v>35</v>
      </c>
      <c r="J38" s="244">
        <v>36</v>
      </c>
      <c r="K38" s="244">
        <v>37</v>
      </c>
      <c r="L38" s="244">
        <v>38</v>
      </c>
      <c r="M38" s="244">
        <v>39</v>
      </c>
      <c r="N38" s="244">
        <v>40</v>
      </c>
      <c r="O38" s="244">
        <v>41</v>
      </c>
      <c r="P38" s="244">
        <v>42</v>
      </c>
      <c r="Q38" s="244">
        <v>43</v>
      </c>
      <c r="R38" s="244">
        <v>44</v>
      </c>
      <c r="S38" s="244">
        <v>45</v>
      </c>
      <c r="T38" s="244">
        <v>46</v>
      </c>
      <c r="U38" s="244">
        <v>47</v>
      </c>
      <c r="V38" s="244">
        <v>48</v>
      </c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243"/>
      <c r="BD38" s="243"/>
      <c r="BE38" s="243"/>
      <c r="BF38" s="243"/>
      <c r="BG38" s="243"/>
      <c r="BH38" s="243"/>
      <c r="BI38" s="243"/>
      <c r="BJ38" s="243"/>
      <c r="BK38" s="243"/>
      <c r="BL38" s="244">
        <v>33</v>
      </c>
      <c r="BM38" s="244">
        <v>44</v>
      </c>
      <c r="BN38" s="244">
        <v>48</v>
      </c>
      <c r="BO38" s="243"/>
      <c r="BP38" s="243" t="s">
        <v>226</v>
      </c>
      <c r="BQ38" s="244" t="s">
        <v>181</v>
      </c>
      <c r="BR38" s="243"/>
      <c r="BS38" s="243"/>
      <c r="BT38" s="243"/>
      <c r="BU38" s="245">
        <f t="shared" si="3"/>
        <v>1</v>
      </c>
      <c r="BV38" s="245">
        <f t="shared" si="3"/>
        <v>0</v>
      </c>
      <c r="BW38" s="245">
        <f t="shared" si="3"/>
        <v>0</v>
      </c>
      <c r="BX38" s="245">
        <f t="shared" si="3"/>
        <v>0</v>
      </c>
      <c r="BY38" s="246" t="str">
        <f>IF($BU38=0,"N/A",IF(AND($BP38="Level 1-6 (3-57 point)",MIN($G38:$BK38)&lt;Thresholds_Rates!$C$13),"Yes","No"))</f>
        <v>No</v>
      </c>
      <c r="BZ38" s="246" t="str">
        <f>IF(SUM($BW38:$BX38)=0,"N/A",IF(AND($BP38="Level 1-6 (3-57 point)",MAX($G38:$BK38)&gt;Thresholds_Rates!$C$14),"Yes","No"))</f>
        <v>N/A</v>
      </c>
    </row>
    <row r="39" spans="1:78" x14ac:dyDescent="0.35">
      <c r="A39" s="76" t="s">
        <v>271</v>
      </c>
      <c r="B39" s="243">
        <v>2</v>
      </c>
      <c r="C39" s="243" t="s">
        <v>228</v>
      </c>
      <c r="D39" s="243" t="s">
        <v>229</v>
      </c>
      <c r="E39" s="243"/>
      <c r="F39" s="84">
        <f t="shared" si="2"/>
        <v>13</v>
      </c>
      <c r="G39" s="244">
        <v>45</v>
      </c>
      <c r="H39" s="244">
        <v>46</v>
      </c>
      <c r="I39" s="244">
        <v>47</v>
      </c>
      <c r="J39" s="244">
        <v>48</v>
      </c>
      <c r="K39" s="244">
        <v>49</v>
      </c>
      <c r="L39" s="244">
        <v>50</v>
      </c>
      <c r="M39" s="244">
        <v>51</v>
      </c>
      <c r="N39" s="244">
        <v>52</v>
      </c>
      <c r="O39" s="244">
        <v>53</v>
      </c>
      <c r="P39" s="244">
        <v>54</v>
      </c>
      <c r="Q39" s="244">
        <v>55</v>
      </c>
      <c r="R39" s="244">
        <v>56</v>
      </c>
      <c r="S39" s="244">
        <v>57</v>
      </c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3"/>
      <c r="AQ39" s="243"/>
      <c r="AR39" s="243"/>
      <c r="AS39" s="243"/>
      <c r="AT39" s="243"/>
      <c r="AU39" s="243"/>
      <c r="AV39" s="243"/>
      <c r="AW39" s="243"/>
      <c r="AX39" s="243"/>
      <c r="AY39" s="243"/>
      <c r="AZ39" s="243"/>
      <c r="BA39" s="243"/>
      <c r="BB39" s="243"/>
      <c r="BC39" s="243"/>
      <c r="BD39" s="243"/>
      <c r="BE39" s="243"/>
      <c r="BF39" s="243"/>
      <c r="BG39" s="243"/>
      <c r="BH39" s="243"/>
      <c r="BI39" s="243"/>
      <c r="BJ39" s="243"/>
      <c r="BK39" s="243"/>
      <c r="BL39" s="244">
        <v>45</v>
      </c>
      <c r="BM39" s="244">
        <v>52</v>
      </c>
      <c r="BN39" s="244">
        <v>57</v>
      </c>
      <c r="BO39" s="243"/>
      <c r="BP39" s="243" t="s">
        <v>226</v>
      </c>
      <c r="BQ39" s="244" t="s">
        <v>181</v>
      </c>
      <c r="BR39" s="243"/>
      <c r="BS39" s="243"/>
      <c r="BT39" s="243"/>
      <c r="BU39" s="245">
        <f t="shared" si="3"/>
        <v>1</v>
      </c>
      <c r="BV39" s="245">
        <f t="shared" si="3"/>
        <v>0</v>
      </c>
      <c r="BW39" s="245">
        <f t="shared" si="3"/>
        <v>0</v>
      </c>
      <c r="BX39" s="245">
        <f t="shared" si="3"/>
        <v>0</v>
      </c>
      <c r="BY39" s="246" t="str">
        <f>IF($BU39=0,"N/A",IF(AND($BP39="Level 1-6 (3-57 point)",MIN($G39:$BK39)&lt;Thresholds_Rates!$C$13),"Yes","No"))</f>
        <v>No</v>
      </c>
      <c r="BZ39" s="246" t="str">
        <f>IF(SUM($BW39:$BX39)=0,"N/A",IF(AND($BP39="Level 1-6 (3-57 point)",MAX($G39:$BK39)&gt;Thresholds_Rates!$C$14),"Yes","No"))</f>
        <v>N/A</v>
      </c>
    </row>
    <row r="40" spans="1:78" x14ac:dyDescent="0.35">
      <c r="A40" s="76" t="s">
        <v>272</v>
      </c>
      <c r="B40" s="243">
        <v>2</v>
      </c>
      <c r="C40" s="243" t="s">
        <v>273</v>
      </c>
      <c r="D40" s="243" t="s">
        <v>274</v>
      </c>
      <c r="E40" s="243"/>
      <c r="F40" s="84">
        <f t="shared" si="2"/>
        <v>13</v>
      </c>
      <c r="G40" s="244">
        <v>45</v>
      </c>
      <c r="H40" s="244">
        <v>46</v>
      </c>
      <c r="I40" s="244">
        <v>47</v>
      </c>
      <c r="J40" s="244">
        <v>48</v>
      </c>
      <c r="K40" s="244">
        <v>49</v>
      </c>
      <c r="L40" s="244">
        <v>50</v>
      </c>
      <c r="M40" s="244">
        <v>51</v>
      </c>
      <c r="N40" s="244">
        <v>52</v>
      </c>
      <c r="O40" s="244">
        <v>53</v>
      </c>
      <c r="P40" s="244">
        <v>54</v>
      </c>
      <c r="Q40" s="244">
        <v>55</v>
      </c>
      <c r="R40" s="244">
        <v>56</v>
      </c>
      <c r="S40" s="244">
        <v>57</v>
      </c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4">
        <v>45</v>
      </c>
      <c r="BM40" s="244">
        <v>52</v>
      </c>
      <c r="BN40" s="244">
        <v>57</v>
      </c>
      <c r="BO40" s="243" t="s">
        <v>269</v>
      </c>
      <c r="BP40" s="243" t="s">
        <v>226</v>
      </c>
      <c r="BQ40" s="244" t="s">
        <v>181</v>
      </c>
      <c r="BR40" s="243"/>
      <c r="BS40" s="243"/>
      <c r="BT40" s="243"/>
      <c r="BU40" s="245">
        <f t="shared" si="3"/>
        <v>1</v>
      </c>
      <c r="BV40" s="245">
        <f t="shared" si="3"/>
        <v>0</v>
      </c>
      <c r="BW40" s="245">
        <f t="shared" si="3"/>
        <v>0</v>
      </c>
      <c r="BX40" s="245">
        <f t="shared" si="3"/>
        <v>0</v>
      </c>
      <c r="BY40" s="246" t="str">
        <f>IF($BU40=0,"N/A",IF(AND($BP40="Level 1-6 (3-57 point)",MIN($G40:$BK40)&lt;Thresholds_Rates!$C$13),"Yes","No"))</f>
        <v>No</v>
      </c>
      <c r="BZ40" s="246" t="str">
        <f>IF(SUM($BW40:$BX40)=0,"N/A",IF(AND($BP40="Level 1-6 (3-57 point)",MAX($G40:$BK40)&gt;Thresholds_Rates!$C$14),"Yes","No"))</f>
        <v>N/A</v>
      </c>
    </row>
    <row r="41" spans="1:78" x14ac:dyDescent="0.35">
      <c r="A41" s="76" t="s">
        <v>275</v>
      </c>
      <c r="B41" s="243">
        <v>2</v>
      </c>
      <c r="C41" s="243" t="s">
        <v>238</v>
      </c>
      <c r="D41" s="243" t="s">
        <v>239</v>
      </c>
      <c r="E41" s="243"/>
      <c r="F41" s="84">
        <f t="shared" si="2"/>
        <v>26</v>
      </c>
      <c r="G41" s="244">
        <v>1</v>
      </c>
      <c r="H41" s="244">
        <v>2</v>
      </c>
      <c r="I41" s="244">
        <v>3</v>
      </c>
      <c r="J41" s="244">
        <v>4</v>
      </c>
      <c r="K41" s="244">
        <v>5</v>
      </c>
      <c r="L41" s="244">
        <v>6</v>
      </c>
      <c r="M41" s="244">
        <v>7</v>
      </c>
      <c r="N41" s="244">
        <v>8</v>
      </c>
      <c r="O41" s="244">
        <v>9</v>
      </c>
      <c r="P41" s="244">
        <v>10</v>
      </c>
      <c r="Q41" s="244">
        <v>11</v>
      </c>
      <c r="R41" s="244">
        <v>12</v>
      </c>
      <c r="S41" s="244">
        <v>13</v>
      </c>
      <c r="T41" s="244">
        <v>14</v>
      </c>
      <c r="U41" s="244">
        <v>15</v>
      </c>
      <c r="V41" s="244">
        <v>16</v>
      </c>
      <c r="W41" s="244">
        <v>17</v>
      </c>
      <c r="X41" s="244">
        <v>18</v>
      </c>
      <c r="Y41" s="244">
        <v>19</v>
      </c>
      <c r="Z41" s="244">
        <v>20</v>
      </c>
      <c r="AA41" s="244">
        <v>21</v>
      </c>
      <c r="AB41" s="244">
        <v>22</v>
      </c>
      <c r="AC41" s="244">
        <v>23</v>
      </c>
      <c r="AD41" s="244">
        <v>24</v>
      </c>
      <c r="AE41" s="244">
        <v>25</v>
      </c>
      <c r="AF41" s="244">
        <v>26</v>
      </c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4">
        <v>1</v>
      </c>
      <c r="BM41" s="244">
        <v>17</v>
      </c>
      <c r="BN41" s="244">
        <v>26</v>
      </c>
      <c r="BO41" s="243"/>
      <c r="BP41" s="243" t="s">
        <v>240</v>
      </c>
      <c r="BQ41" s="244" t="s">
        <v>181</v>
      </c>
      <c r="BR41" s="243"/>
      <c r="BS41" s="243"/>
      <c r="BT41" s="243"/>
      <c r="BU41" s="245">
        <f t="shared" si="3"/>
        <v>1</v>
      </c>
      <c r="BV41" s="245">
        <f t="shared" si="3"/>
        <v>0</v>
      </c>
      <c r="BW41" s="245">
        <f t="shared" si="3"/>
        <v>0</v>
      </c>
      <c r="BX41" s="245">
        <f t="shared" si="3"/>
        <v>0</v>
      </c>
      <c r="BY41" s="246" t="str">
        <f>IF($BU41=0,"N/A",IF(AND($BP41="Level 1-6 (3-57 point)",MIN($G41:$BK41)&lt;Thresholds_Rates!$C$13),"Yes","No"))</f>
        <v>No</v>
      </c>
      <c r="BZ41" s="246" t="str">
        <f>IF(SUM($BW41:$BX41)=0,"N/A",IF(AND($BP41="Level 1-6 (3-57 point)",MAX($G41:$BK41)&gt;Thresholds_Rates!$C$14),"Yes","No"))</f>
        <v>N/A</v>
      </c>
    </row>
    <row r="42" spans="1:78" x14ac:dyDescent="0.35">
      <c r="A42" s="243" t="s">
        <v>276</v>
      </c>
      <c r="B42" s="243">
        <v>2</v>
      </c>
      <c r="C42" s="243" t="s">
        <v>277</v>
      </c>
      <c r="D42" s="243" t="s">
        <v>278</v>
      </c>
      <c r="E42" s="243"/>
      <c r="F42" s="84">
        <f t="shared" si="2"/>
        <v>20</v>
      </c>
      <c r="G42" s="244">
        <v>1</v>
      </c>
      <c r="H42" s="244">
        <v>2</v>
      </c>
      <c r="I42" s="244">
        <v>3</v>
      </c>
      <c r="J42" s="244">
        <v>4</v>
      </c>
      <c r="K42" s="244">
        <v>5</v>
      </c>
      <c r="L42" s="244">
        <v>6</v>
      </c>
      <c r="M42" s="244">
        <v>7</v>
      </c>
      <c r="N42" s="244">
        <v>8</v>
      </c>
      <c r="O42" s="244">
        <v>9</v>
      </c>
      <c r="P42" s="244">
        <v>10</v>
      </c>
      <c r="Q42" s="244">
        <v>11</v>
      </c>
      <c r="R42" s="244">
        <v>12</v>
      </c>
      <c r="S42" s="244">
        <v>13</v>
      </c>
      <c r="T42" s="244">
        <v>14</v>
      </c>
      <c r="U42" s="244">
        <v>15</v>
      </c>
      <c r="V42" s="244">
        <v>16</v>
      </c>
      <c r="W42" s="244">
        <v>17</v>
      </c>
      <c r="X42" s="244">
        <v>18</v>
      </c>
      <c r="Y42" s="244">
        <v>19</v>
      </c>
      <c r="Z42" s="244">
        <v>20</v>
      </c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>
        <v>1</v>
      </c>
      <c r="BM42" s="243"/>
      <c r="BN42" s="243"/>
      <c r="BO42" s="243"/>
      <c r="BP42" s="243" t="s">
        <v>240</v>
      </c>
      <c r="BQ42" s="243" t="s">
        <v>181</v>
      </c>
      <c r="BR42" s="243"/>
      <c r="BS42" s="243"/>
      <c r="BT42" s="243"/>
      <c r="BU42" s="245">
        <v>1</v>
      </c>
      <c r="BV42" s="245">
        <f>COUNTIF($BQ42:$BT42,BV$6)</f>
        <v>0</v>
      </c>
      <c r="BW42" s="245">
        <f>COUNTIF($BQ42:$BT42,BW$6)</f>
        <v>0</v>
      </c>
      <c r="BX42" s="245">
        <f>COUNTIF($BQ42:$BT42,BX$6)</f>
        <v>0</v>
      </c>
      <c r="BY42" s="246" t="str">
        <f>IF($BU42=0,"N/A",IF(AND($BP42="Level 1-6 (3-57 point)",MIN($G42:$BK42)&lt;Thresholds_Rates!$C$13),"Yes","No"))</f>
        <v>No</v>
      </c>
      <c r="BZ42" s="246" t="str">
        <f>IF(SUM($BW42:$BX42)=0,"N/A",IF(AND($BP42="Level 1-6 (3-57 point)",MAX($G42:$BK42)&gt;Thresholds_Rates!$C$14),"Yes","No"))</f>
        <v>N/A</v>
      </c>
    </row>
    <row r="43" spans="1:78" x14ac:dyDescent="0.35">
      <c r="A43" s="243" t="s">
        <v>279</v>
      </c>
      <c r="B43" s="243">
        <v>2</v>
      </c>
      <c r="C43" s="243" t="s">
        <v>277</v>
      </c>
      <c r="D43" s="243" t="s">
        <v>278</v>
      </c>
      <c r="E43" s="243"/>
      <c r="F43" s="84">
        <f t="shared" si="2"/>
        <v>6</v>
      </c>
      <c r="G43" s="244">
        <v>1</v>
      </c>
      <c r="H43" s="244">
        <v>2</v>
      </c>
      <c r="I43" s="244">
        <v>3</v>
      </c>
      <c r="J43" s="244">
        <v>4</v>
      </c>
      <c r="K43" s="244">
        <v>5</v>
      </c>
      <c r="L43" s="244">
        <v>6</v>
      </c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>
        <v>1</v>
      </c>
      <c r="BM43" s="243"/>
      <c r="BN43" s="243">
        <v>6</v>
      </c>
      <c r="BO43" s="243"/>
      <c r="BP43" s="243" t="s">
        <v>240</v>
      </c>
      <c r="BQ43" s="243" t="s">
        <v>181</v>
      </c>
      <c r="BR43" s="243"/>
      <c r="BS43" s="243"/>
      <c r="BT43" s="243"/>
      <c r="BU43" s="245">
        <v>1</v>
      </c>
      <c r="BV43" s="245">
        <v>0</v>
      </c>
      <c r="BW43" s="245">
        <v>0</v>
      </c>
      <c r="BX43" s="245">
        <v>0</v>
      </c>
      <c r="BY43" s="246" t="str">
        <f>IF($BU43=0,"N/A",IF(AND($BP43="Level 1-6 (3-57 point)",MIN($G43:$BK43)&lt;Thresholds_Rates!$C$13),"Yes","No"))</f>
        <v>No</v>
      </c>
      <c r="BZ43" s="246" t="str">
        <f>IF(SUM($BW43:$BX43)=0,"N/A",IF(AND($BP43="Level 1-6 (3-57 point)",MAX($G43:$BK43)&gt;Thresholds_Rates!$C$14),"Yes","No"))</f>
        <v>N/A</v>
      </c>
    </row>
    <row r="44" spans="1:78" x14ac:dyDescent="0.35">
      <c r="A44" s="243" t="s">
        <v>280</v>
      </c>
      <c r="B44" s="243">
        <v>2</v>
      </c>
      <c r="C44" s="243" t="s">
        <v>277</v>
      </c>
      <c r="D44" s="243" t="s">
        <v>278</v>
      </c>
      <c r="E44" s="243"/>
      <c r="F44" s="84">
        <f t="shared" si="2"/>
        <v>6</v>
      </c>
      <c r="G44" s="243">
        <v>7</v>
      </c>
      <c r="H44" s="243">
        <v>8</v>
      </c>
      <c r="I44" s="243">
        <v>9</v>
      </c>
      <c r="J44" s="243">
        <v>10</v>
      </c>
      <c r="K44" s="243">
        <v>11</v>
      </c>
      <c r="L44" s="243">
        <v>12</v>
      </c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>
        <v>7</v>
      </c>
      <c r="BM44" s="243"/>
      <c r="BN44" s="243">
        <v>12</v>
      </c>
      <c r="BO44" s="243"/>
      <c r="BP44" s="243" t="s">
        <v>240</v>
      </c>
      <c r="BQ44" s="243" t="s">
        <v>181</v>
      </c>
      <c r="BR44" s="243"/>
      <c r="BS44" s="243"/>
      <c r="BT44" s="243"/>
      <c r="BU44" s="245">
        <v>1</v>
      </c>
      <c r="BV44" s="245">
        <v>0</v>
      </c>
      <c r="BW44" s="245">
        <v>0</v>
      </c>
      <c r="BX44" s="245">
        <v>0</v>
      </c>
      <c r="BY44" s="246" t="str">
        <f>IF($BU44=0,"N/A",IF(AND($BP44="Level 1-6 (3-57 point)",MIN($G44:$BK44)&lt;Thresholds_Rates!$C$13),"Yes","No"))</f>
        <v>No</v>
      </c>
      <c r="BZ44" s="246" t="str">
        <f>IF(SUM($BW44:$BX44)=0,"N/A",IF(AND($BP44="Level 1-6 (3-57 point)",MAX($G44:$BK44)&gt;Thresholds_Rates!$C$14),"Yes","No"))</f>
        <v>N/A</v>
      </c>
    </row>
    <row r="45" spans="1:78" x14ac:dyDescent="0.35">
      <c r="A45" s="243" t="s">
        <v>281</v>
      </c>
      <c r="B45" s="243">
        <v>2</v>
      </c>
      <c r="C45" s="243" t="s">
        <v>277</v>
      </c>
      <c r="D45" s="243" t="s">
        <v>278</v>
      </c>
      <c r="E45" s="243"/>
      <c r="F45" s="84">
        <f t="shared" si="2"/>
        <v>7</v>
      </c>
      <c r="G45" s="243">
        <v>13</v>
      </c>
      <c r="H45" s="243">
        <v>14</v>
      </c>
      <c r="I45" s="243">
        <v>15</v>
      </c>
      <c r="J45" s="243">
        <v>16</v>
      </c>
      <c r="K45" s="243">
        <v>17</v>
      </c>
      <c r="L45" s="243">
        <v>18</v>
      </c>
      <c r="M45" s="243">
        <v>19</v>
      </c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>
        <v>13</v>
      </c>
      <c r="BM45" s="243"/>
      <c r="BN45" s="243">
        <v>19</v>
      </c>
      <c r="BO45" s="243"/>
      <c r="BP45" s="243" t="s">
        <v>240</v>
      </c>
      <c r="BQ45" s="243" t="s">
        <v>181</v>
      </c>
      <c r="BR45" s="243"/>
      <c r="BS45" s="243"/>
      <c r="BT45" s="243"/>
      <c r="BU45" s="245">
        <v>1</v>
      </c>
      <c r="BV45" s="245">
        <v>0</v>
      </c>
      <c r="BW45" s="245">
        <v>0</v>
      </c>
      <c r="BX45" s="245">
        <v>0</v>
      </c>
      <c r="BY45" s="246" t="str">
        <f>IF($BU45=0,"N/A",IF(AND($BP45="Level 1-6 (3-57 point)",MIN($G45:$BK45)&lt;Thresholds_Rates!$C$13),"Yes","No"))</f>
        <v>No</v>
      </c>
      <c r="BZ45" s="246" t="str">
        <f>IF(SUM($BW45:$BX45)=0,"N/A",IF(AND($BP45="Level 1-6 (3-57 point)",MAX($G45:$BK45)&gt;Thresholds_Rates!$C$14),"Yes","No"))</f>
        <v>N/A</v>
      </c>
    </row>
    <row r="46" spans="1:78" x14ac:dyDescent="0.35">
      <c r="A46" s="243" t="s">
        <v>282</v>
      </c>
      <c r="B46" s="243">
        <v>2</v>
      </c>
      <c r="C46" s="243" t="s">
        <v>277</v>
      </c>
      <c r="D46" s="243" t="s">
        <v>278</v>
      </c>
      <c r="E46" s="243"/>
      <c r="F46" s="84">
        <f t="shared" si="2"/>
        <v>1</v>
      </c>
      <c r="G46" s="243">
        <v>20</v>
      </c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>
        <v>20</v>
      </c>
      <c r="BM46" s="243"/>
      <c r="BN46" s="243"/>
      <c r="BO46" s="243"/>
      <c r="BP46" s="243" t="s">
        <v>240</v>
      </c>
      <c r="BQ46" s="243" t="s">
        <v>181</v>
      </c>
      <c r="BR46" s="243"/>
      <c r="BS46" s="243"/>
      <c r="BT46" s="243"/>
      <c r="BU46" s="245">
        <v>1</v>
      </c>
      <c r="BV46" s="245">
        <v>0</v>
      </c>
      <c r="BW46" s="245">
        <v>0</v>
      </c>
      <c r="BX46" s="245">
        <v>0</v>
      </c>
      <c r="BY46" s="246" t="str">
        <f>IF($BU46=0,"N/A",IF(AND($BP46="Level 1-6 (3-57 point)",MIN($G46:$BK46)&lt;Thresholds_Rates!$C$13),"Yes","No"))</f>
        <v>No</v>
      </c>
      <c r="BZ46" s="246" t="str">
        <f>IF(SUM($BW46:$BX46)=0,"N/A",IF(AND($BP46="Level 1-6 (3-57 point)",MAX($G46:$BK46)&gt;Thresholds_Rates!$C$14),"Yes","No"))</f>
        <v>N/A</v>
      </c>
    </row>
    <row r="47" spans="1:78" x14ac:dyDescent="0.35">
      <c r="A47" s="77" t="s">
        <v>283</v>
      </c>
      <c r="B47" s="243">
        <v>2</v>
      </c>
      <c r="C47" s="243" t="s">
        <v>224</v>
      </c>
      <c r="D47" s="243" t="s">
        <v>225</v>
      </c>
      <c r="E47" s="243"/>
      <c r="F47" s="84">
        <f t="shared" si="2"/>
        <v>3</v>
      </c>
      <c r="G47" s="244">
        <v>10</v>
      </c>
      <c r="H47" s="244">
        <v>11</v>
      </c>
      <c r="I47" s="244">
        <v>12</v>
      </c>
      <c r="J47" s="244"/>
      <c r="K47" s="244"/>
      <c r="L47" s="244"/>
      <c r="M47" s="244"/>
      <c r="N47" s="244"/>
      <c r="O47" s="244"/>
      <c r="P47" s="244"/>
      <c r="Q47" s="244"/>
      <c r="R47" s="244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243"/>
      <c r="AX47" s="243"/>
      <c r="AY47" s="243"/>
      <c r="AZ47" s="243"/>
      <c r="BA47" s="243"/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4">
        <v>8</v>
      </c>
      <c r="BM47" s="244">
        <v>11</v>
      </c>
      <c r="BN47" s="244">
        <v>12</v>
      </c>
      <c r="BO47" s="243"/>
      <c r="BP47" s="243" t="s">
        <v>226</v>
      </c>
      <c r="BQ47" s="244" t="s">
        <v>183</v>
      </c>
      <c r="BR47" s="244" t="s">
        <v>184</v>
      </c>
      <c r="BS47" s="243"/>
      <c r="BT47" s="243"/>
      <c r="BU47" s="245">
        <f t="shared" ref="BU47:BX54" si="4">COUNTIF($BQ47:$BT47,BU$6)</f>
        <v>0</v>
      </c>
      <c r="BV47" s="245">
        <f t="shared" si="4"/>
        <v>0</v>
      </c>
      <c r="BW47" s="245">
        <f t="shared" si="4"/>
        <v>1</v>
      </c>
      <c r="BX47" s="245">
        <f t="shared" si="4"/>
        <v>1</v>
      </c>
      <c r="BY47" s="246" t="str">
        <f>IF($BU47=0,"N/A",IF(AND($BP47="Level 1-6 (3-57 point)",MIN($G47:$BK47)&lt;Thresholds_Rates!$C$13),"Yes","No"))</f>
        <v>N/A</v>
      </c>
      <c r="BZ47" s="246" t="str">
        <f>IF(SUM($BW47:$BX47)=0,"N/A",IF(AND($BP47="Level 1-6 (3-57 point)",MAX($G47:$BK47)&gt;Thresholds_Rates!$C$14),"Yes","No"))</f>
        <v>No</v>
      </c>
    </row>
    <row r="48" spans="1:78" x14ac:dyDescent="0.35">
      <c r="A48" s="77" t="s">
        <v>284</v>
      </c>
      <c r="B48" s="243">
        <v>2</v>
      </c>
      <c r="C48" s="243" t="s">
        <v>224</v>
      </c>
      <c r="D48" s="243" t="s">
        <v>225</v>
      </c>
      <c r="E48" s="243"/>
      <c r="F48" s="84">
        <f t="shared" si="2"/>
        <v>9</v>
      </c>
      <c r="G48" s="244">
        <v>13</v>
      </c>
      <c r="H48" s="244">
        <v>14</v>
      </c>
      <c r="I48" s="244">
        <v>15</v>
      </c>
      <c r="J48" s="244">
        <v>16</v>
      </c>
      <c r="K48" s="244">
        <v>17</v>
      </c>
      <c r="L48" s="244">
        <v>18</v>
      </c>
      <c r="M48" s="244">
        <v>19</v>
      </c>
      <c r="N48" s="244">
        <v>20</v>
      </c>
      <c r="O48" s="243">
        <v>21</v>
      </c>
      <c r="P48" s="244"/>
      <c r="Q48" s="244"/>
      <c r="R48" s="244"/>
      <c r="S48" s="244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4">
        <v>13</v>
      </c>
      <c r="BM48" s="244">
        <v>18</v>
      </c>
      <c r="BN48" s="244">
        <v>21</v>
      </c>
      <c r="BO48" s="243"/>
      <c r="BP48" s="243" t="s">
        <v>226</v>
      </c>
      <c r="BQ48" s="244" t="s">
        <v>183</v>
      </c>
      <c r="BR48" s="244" t="s">
        <v>184</v>
      </c>
      <c r="BS48" s="243"/>
      <c r="BT48" s="243"/>
      <c r="BU48" s="245">
        <f t="shared" si="4"/>
        <v>0</v>
      </c>
      <c r="BV48" s="245">
        <f t="shared" si="4"/>
        <v>0</v>
      </c>
      <c r="BW48" s="245">
        <f t="shared" si="4"/>
        <v>1</v>
      </c>
      <c r="BX48" s="245">
        <f t="shared" si="4"/>
        <v>1</v>
      </c>
      <c r="BY48" s="246" t="str">
        <f>IF($BU48=0,"N/A",IF(AND($BP48="Level 1-6 (3-57 point)",MIN($G48:$BK48)&lt;Thresholds_Rates!$C$13),"Yes","No"))</f>
        <v>N/A</v>
      </c>
      <c r="BZ48" s="246" t="str">
        <f>IF(SUM($BW48:$BX48)=0,"N/A",IF(AND($BP48="Level 1-6 (3-57 point)",MAX($G48:$BK48)&gt;Thresholds_Rates!$C$14),"Yes","No"))</f>
        <v>No</v>
      </c>
    </row>
    <row r="49" spans="1:78" x14ac:dyDescent="0.35">
      <c r="A49" s="77" t="s">
        <v>285</v>
      </c>
      <c r="B49" s="243">
        <v>2</v>
      </c>
      <c r="C49" s="243" t="s">
        <v>224</v>
      </c>
      <c r="D49" s="243" t="s">
        <v>225</v>
      </c>
      <c r="E49" s="243"/>
      <c r="F49" s="84">
        <f t="shared" si="2"/>
        <v>11</v>
      </c>
      <c r="G49" s="244">
        <v>20</v>
      </c>
      <c r="H49" s="244">
        <v>21</v>
      </c>
      <c r="I49" s="244">
        <v>22</v>
      </c>
      <c r="J49" s="244">
        <v>23</v>
      </c>
      <c r="K49" s="244">
        <v>24</v>
      </c>
      <c r="L49" s="244">
        <v>25</v>
      </c>
      <c r="M49" s="244">
        <v>26</v>
      </c>
      <c r="N49" s="244">
        <v>27</v>
      </c>
      <c r="O49" s="244">
        <v>28</v>
      </c>
      <c r="P49" s="243">
        <v>29</v>
      </c>
      <c r="Q49" s="243">
        <v>30</v>
      </c>
      <c r="R49" s="244"/>
      <c r="S49" s="244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4">
        <v>20</v>
      </c>
      <c r="BM49" s="244">
        <v>27</v>
      </c>
      <c r="BN49" s="244">
        <v>30</v>
      </c>
      <c r="BO49" s="243"/>
      <c r="BP49" s="243" t="s">
        <v>226</v>
      </c>
      <c r="BQ49" s="244" t="s">
        <v>183</v>
      </c>
      <c r="BR49" s="244" t="s">
        <v>184</v>
      </c>
      <c r="BS49" s="243"/>
      <c r="BT49" s="243"/>
      <c r="BU49" s="245">
        <f t="shared" si="4"/>
        <v>0</v>
      </c>
      <c r="BV49" s="245">
        <f t="shared" si="4"/>
        <v>0</v>
      </c>
      <c r="BW49" s="245">
        <f t="shared" si="4"/>
        <v>1</v>
      </c>
      <c r="BX49" s="245">
        <f t="shared" si="4"/>
        <v>1</v>
      </c>
      <c r="BY49" s="246" t="str">
        <f>IF($BU49=0,"N/A",IF(AND($BP49="Level 1-6 (3-57 point)",MIN($G49:$BK49)&lt;Thresholds_Rates!$C$13),"Yes","No"))</f>
        <v>N/A</v>
      </c>
      <c r="BZ49" s="246" t="str">
        <f>IF(SUM($BW49:$BX49)=0,"N/A",IF(AND($BP49="Level 1-6 (3-57 point)",MAX($G49:$BK49)&gt;Thresholds_Rates!$C$14),"Yes","No"))</f>
        <v>No</v>
      </c>
    </row>
    <row r="50" spans="1:78" x14ac:dyDescent="0.35">
      <c r="A50" s="77" t="s">
        <v>286</v>
      </c>
      <c r="B50" s="243">
        <v>2</v>
      </c>
      <c r="C50" s="243" t="s">
        <v>228</v>
      </c>
      <c r="D50" s="243" t="s">
        <v>229</v>
      </c>
      <c r="E50" s="243"/>
      <c r="F50" s="84">
        <f t="shared" si="2"/>
        <v>13</v>
      </c>
      <c r="G50" s="244">
        <v>27</v>
      </c>
      <c r="H50" s="244">
        <v>28</v>
      </c>
      <c r="I50" s="244">
        <v>29</v>
      </c>
      <c r="J50" s="244">
        <v>30</v>
      </c>
      <c r="K50" s="244">
        <v>31</v>
      </c>
      <c r="L50" s="244">
        <v>32</v>
      </c>
      <c r="M50" s="244">
        <v>33</v>
      </c>
      <c r="N50" s="244">
        <v>34</v>
      </c>
      <c r="O50" s="244">
        <v>35</v>
      </c>
      <c r="P50" s="244">
        <v>36</v>
      </c>
      <c r="Q50" s="244">
        <v>37</v>
      </c>
      <c r="R50" s="244">
        <v>38</v>
      </c>
      <c r="S50" s="244">
        <v>39</v>
      </c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4">
        <v>27</v>
      </c>
      <c r="BM50" s="244">
        <v>37</v>
      </c>
      <c r="BN50" s="244">
        <v>39</v>
      </c>
      <c r="BO50" s="243"/>
      <c r="BP50" s="243" t="s">
        <v>226</v>
      </c>
      <c r="BQ50" s="244" t="s">
        <v>181</v>
      </c>
      <c r="BR50" s="243"/>
      <c r="BS50" s="243"/>
      <c r="BT50" s="243"/>
      <c r="BU50" s="245">
        <f t="shared" si="4"/>
        <v>1</v>
      </c>
      <c r="BV50" s="245">
        <f t="shared" si="4"/>
        <v>0</v>
      </c>
      <c r="BW50" s="245">
        <f t="shared" si="4"/>
        <v>0</v>
      </c>
      <c r="BX50" s="245">
        <f t="shared" si="4"/>
        <v>0</v>
      </c>
      <c r="BY50" s="246" t="str">
        <f>IF($BU50=0,"N/A",IF(AND($BP50="Level 1-6 (3-57 point)",MIN($G50:$BK50)&lt;Thresholds_Rates!$C$13),"Yes","No"))</f>
        <v>No</v>
      </c>
      <c r="BZ50" s="246" t="str">
        <f>IF(SUM($BW50:$BX50)=0,"N/A",IF(AND($BP50="Level 1-6 (3-57 point)",MAX($G50:$BK50)&gt;Thresholds_Rates!$C$14),"Yes","No"))</f>
        <v>N/A</v>
      </c>
    </row>
    <row r="51" spans="1:78" x14ac:dyDescent="0.35">
      <c r="A51" s="77" t="s">
        <v>287</v>
      </c>
      <c r="B51" s="243">
        <v>2</v>
      </c>
      <c r="C51" s="243" t="s">
        <v>228</v>
      </c>
      <c r="D51" s="243" t="s">
        <v>229</v>
      </c>
      <c r="E51" s="243"/>
      <c r="F51" s="84">
        <f t="shared" si="2"/>
        <v>13</v>
      </c>
      <c r="G51" s="244">
        <v>36</v>
      </c>
      <c r="H51" s="244">
        <v>37</v>
      </c>
      <c r="I51" s="244">
        <v>38</v>
      </c>
      <c r="J51" s="244">
        <v>39</v>
      </c>
      <c r="K51" s="244">
        <v>40</v>
      </c>
      <c r="L51" s="244">
        <v>41</v>
      </c>
      <c r="M51" s="244">
        <v>42</v>
      </c>
      <c r="N51" s="244">
        <v>43</v>
      </c>
      <c r="O51" s="244">
        <v>44</v>
      </c>
      <c r="P51" s="244">
        <v>45</v>
      </c>
      <c r="Q51" s="244">
        <v>46</v>
      </c>
      <c r="R51" s="244">
        <v>47</v>
      </c>
      <c r="S51" s="244">
        <v>48</v>
      </c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4">
        <v>36</v>
      </c>
      <c r="BM51" s="244">
        <v>44</v>
      </c>
      <c r="BN51" s="244">
        <v>48</v>
      </c>
      <c r="BO51" s="243"/>
      <c r="BP51" s="243" t="s">
        <v>226</v>
      </c>
      <c r="BQ51" s="244" t="s">
        <v>181</v>
      </c>
      <c r="BR51" s="243"/>
      <c r="BS51" s="243"/>
      <c r="BT51" s="243"/>
      <c r="BU51" s="245">
        <f t="shared" si="4"/>
        <v>1</v>
      </c>
      <c r="BV51" s="245">
        <f t="shared" si="4"/>
        <v>0</v>
      </c>
      <c r="BW51" s="245">
        <f t="shared" si="4"/>
        <v>0</v>
      </c>
      <c r="BX51" s="245">
        <f t="shared" si="4"/>
        <v>0</v>
      </c>
      <c r="BY51" s="246" t="str">
        <f>IF($BU51=0,"N/A",IF(AND($BP51="Level 1-6 (3-57 point)",MIN($G51:$BK51)&lt;Thresholds_Rates!$C$13),"Yes","No"))</f>
        <v>No</v>
      </c>
      <c r="BZ51" s="246" t="str">
        <f>IF(SUM($BW51:$BX51)=0,"N/A",IF(AND($BP51="Level 1-6 (3-57 point)",MAX($G51:$BK51)&gt;Thresholds_Rates!$C$14),"Yes","No"))</f>
        <v>N/A</v>
      </c>
    </row>
    <row r="52" spans="1:78" x14ac:dyDescent="0.35">
      <c r="A52" s="77" t="s">
        <v>288</v>
      </c>
      <c r="B52" s="243">
        <v>2</v>
      </c>
      <c r="C52" s="243" t="s">
        <v>228</v>
      </c>
      <c r="D52" s="243" t="s">
        <v>229</v>
      </c>
      <c r="E52" s="243"/>
      <c r="F52" s="84">
        <f t="shared" si="2"/>
        <v>13</v>
      </c>
      <c r="G52" s="244">
        <v>45</v>
      </c>
      <c r="H52" s="244">
        <v>46</v>
      </c>
      <c r="I52" s="244">
        <v>47</v>
      </c>
      <c r="J52" s="244">
        <v>48</v>
      </c>
      <c r="K52" s="244">
        <v>49</v>
      </c>
      <c r="L52" s="244">
        <v>50</v>
      </c>
      <c r="M52" s="244">
        <v>51</v>
      </c>
      <c r="N52" s="244">
        <v>52</v>
      </c>
      <c r="O52" s="244">
        <v>53</v>
      </c>
      <c r="P52" s="244">
        <v>54</v>
      </c>
      <c r="Q52" s="244">
        <v>55</v>
      </c>
      <c r="R52" s="244">
        <v>56</v>
      </c>
      <c r="S52" s="244">
        <v>57</v>
      </c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4">
        <v>45</v>
      </c>
      <c r="BM52" s="244">
        <v>52</v>
      </c>
      <c r="BN52" s="244">
        <v>57</v>
      </c>
      <c r="BO52" s="243"/>
      <c r="BP52" s="243" t="s">
        <v>226</v>
      </c>
      <c r="BQ52" s="244" t="s">
        <v>181</v>
      </c>
      <c r="BR52" s="243"/>
      <c r="BS52" s="243"/>
      <c r="BT52" s="243"/>
      <c r="BU52" s="245">
        <f t="shared" si="4"/>
        <v>1</v>
      </c>
      <c r="BV52" s="245">
        <f t="shared" si="4"/>
        <v>0</v>
      </c>
      <c r="BW52" s="245">
        <f t="shared" si="4"/>
        <v>0</v>
      </c>
      <c r="BX52" s="245">
        <f t="shared" si="4"/>
        <v>0</v>
      </c>
      <c r="BY52" s="246" t="str">
        <f>IF($BU52=0,"N/A",IF(AND($BP52="Level 1-6 (3-57 point)",MIN($G52:$BK52)&lt;Thresholds_Rates!$C$13),"Yes","No"))</f>
        <v>No</v>
      </c>
      <c r="BZ52" s="246" t="str">
        <f>IF(SUM($BW52:$BX52)=0,"N/A",IF(AND($BP52="Level 1-6 (3-57 point)",MAX($G52:$BK52)&gt;Thresholds_Rates!$C$14),"Yes","No"))</f>
        <v>N/A</v>
      </c>
    </row>
    <row r="53" spans="1:78" x14ac:dyDescent="0.35">
      <c r="A53" s="77" t="s">
        <v>289</v>
      </c>
      <c r="B53" s="243">
        <v>2</v>
      </c>
      <c r="C53" s="243" t="s">
        <v>238</v>
      </c>
      <c r="D53" s="243" t="s">
        <v>239</v>
      </c>
      <c r="E53" s="243"/>
      <c r="F53" s="84">
        <f t="shared" si="2"/>
        <v>26</v>
      </c>
      <c r="G53" s="244">
        <v>1</v>
      </c>
      <c r="H53" s="244">
        <v>2</v>
      </c>
      <c r="I53" s="244">
        <v>3</v>
      </c>
      <c r="J53" s="244">
        <v>4</v>
      </c>
      <c r="K53" s="244">
        <v>5</v>
      </c>
      <c r="L53" s="244">
        <v>6</v>
      </c>
      <c r="M53" s="244">
        <v>7</v>
      </c>
      <c r="N53" s="244">
        <v>8</v>
      </c>
      <c r="O53" s="244">
        <v>9</v>
      </c>
      <c r="P53" s="244">
        <v>10</v>
      </c>
      <c r="Q53" s="244">
        <v>11</v>
      </c>
      <c r="R53" s="244">
        <v>12</v>
      </c>
      <c r="S53" s="244">
        <v>13</v>
      </c>
      <c r="T53" s="244">
        <v>14</v>
      </c>
      <c r="U53" s="244">
        <v>15</v>
      </c>
      <c r="V53" s="244">
        <v>16</v>
      </c>
      <c r="W53" s="244">
        <v>17</v>
      </c>
      <c r="X53" s="244">
        <v>18</v>
      </c>
      <c r="Y53" s="244">
        <v>19</v>
      </c>
      <c r="Z53" s="244">
        <v>20</v>
      </c>
      <c r="AA53" s="244">
        <v>21</v>
      </c>
      <c r="AB53" s="244">
        <v>22</v>
      </c>
      <c r="AC53" s="244">
        <v>23</v>
      </c>
      <c r="AD53" s="244">
        <v>24</v>
      </c>
      <c r="AE53" s="244">
        <v>25</v>
      </c>
      <c r="AF53" s="244">
        <v>26</v>
      </c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4">
        <v>1</v>
      </c>
      <c r="BM53" s="244">
        <v>17</v>
      </c>
      <c r="BN53" s="244">
        <v>26</v>
      </c>
      <c r="BO53" s="243"/>
      <c r="BP53" s="243" t="s">
        <v>240</v>
      </c>
      <c r="BQ53" s="244" t="s">
        <v>181</v>
      </c>
      <c r="BR53" s="243"/>
      <c r="BS53" s="243"/>
      <c r="BT53" s="243"/>
      <c r="BU53" s="245">
        <f t="shared" si="4"/>
        <v>1</v>
      </c>
      <c r="BV53" s="245">
        <f t="shared" si="4"/>
        <v>0</v>
      </c>
      <c r="BW53" s="245">
        <f t="shared" si="4"/>
        <v>0</v>
      </c>
      <c r="BX53" s="245">
        <f t="shared" si="4"/>
        <v>0</v>
      </c>
      <c r="BY53" s="246" t="str">
        <f>IF($BU53=0,"N/A",IF(AND($BP53="Level 1-6 (3-57 point)",MIN($G53:$BK53)&lt;Thresholds_Rates!$C$13),"Yes","No"))</f>
        <v>No</v>
      </c>
      <c r="BZ53" s="246" t="str">
        <f>IF(SUM($BW53:$BX53)=0,"N/A",IF(AND($BP53="Level 1-6 (3-57 point)",MAX($G53:$BK53)&gt;Thresholds_Rates!$C$14),"Yes","No"))</f>
        <v>N/A</v>
      </c>
    </row>
    <row r="54" spans="1:78" x14ac:dyDescent="0.35">
      <c r="A54" s="132" t="s">
        <v>290</v>
      </c>
      <c r="B54" s="248">
        <v>2</v>
      </c>
      <c r="C54" s="248" t="s">
        <v>224</v>
      </c>
      <c r="D54" s="248" t="s">
        <v>225</v>
      </c>
      <c r="E54" s="248"/>
      <c r="F54" s="85">
        <f t="shared" si="2"/>
        <v>2</v>
      </c>
      <c r="G54" s="249">
        <v>10</v>
      </c>
      <c r="H54" s="249">
        <v>11</v>
      </c>
      <c r="I54" s="249"/>
      <c r="J54" s="249"/>
      <c r="K54" s="249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9">
        <v>8</v>
      </c>
      <c r="BM54" s="249"/>
      <c r="BN54" s="249">
        <v>11</v>
      </c>
      <c r="BO54" s="248"/>
      <c r="BP54" s="248" t="s">
        <v>226</v>
      </c>
      <c r="BQ54" s="249" t="s">
        <v>183</v>
      </c>
      <c r="BR54" s="249" t="s">
        <v>184</v>
      </c>
      <c r="BS54" s="248"/>
      <c r="BT54" s="248"/>
      <c r="BU54" s="250">
        <f t="shared" si="4"/>
        <v>0</v>
      </c>
      <c r="BV54" s="250">
        <f t="shared" si="4"/>
        <v>0</v>
      </c>
      <c r="BW54" s="250">
        <f t="shared" si="4"/>
        <v>1</v>
      </c>
      <c r="BX54" s="250">
        <f t="shared" si="4"/>
        <v>1</v>
      </c>
      <c r="BY54" s="251" t="str">
        <f>IF($BU54=0,"N/A",IF(AND($BP54="Level 1-6 (3-57 point)",MIN($G54:$BK54)&lt;Thresholds_Rates!$C$13),"Yes","No"))</f>
        <v>N/A</v>
      </c>
      <c r="BZ54" s="246" t="str">
        <f>IF(SUM($BW54:$BX54)=0,"N/A",IF(AND($BP54="Level 1-6 (3-57 point)",MAX($G54:$BK54)&gt;Thresholds_Rates!$C$14),"Yes","No"))</f>
        <v>No</v>
      </c>
    </row>
    <row r="55" spans="1:78" x14ac:dyDescent="0.35">
      <c r="A55" s="144"/>
    </row>
  </sheetData>
  <sheetProtection selectLockedCells="1"/>
  <autoFilter ref="A6:BZ54" xr:uid="{00000000-0001-0000-0400-000000000000}">
    <filterColumn colId="68" showButton="0"/>
    <filterColumn colId="69" showButton="0"/>
    <filterColumn colId="70" showButton="0"/>
    <sortState xmlns:xlrd2="http://schemas.microsoft.com/office/spreadsheetml/2017/richdata2" ref="A7:BZ54">
      <sortCondition ref="B7:B54"/>
      <sortCondition ref="A7:A54"/>
    </sortState>
  </autoFilter>
  <customSheetViews>
    <customSheetView guid="{DC156EF3-60B9-4D72-83CB-66DF98F35EAF}" scale="115" showAutoFilter="1" state="hidden" topLeftCell="A6">
      <pane xSplit="1" topLeftCell="F1" activePane="topRight" state="frozen"/>
      <selection pane="topRight" activeCell="F19" sqref="F19"/>
      <pageMargins left="0.7" right="0.7" top="0.75" bottom="0.75" header="0.3" footer="0.3"/>
      <pageSetup paperSize="9" orientation="portrait" r:id="rId1"/>
      <autoFilter ref="A6:BZ54" xr:uid="{826BB2A7-6A32-42C2-9CAA-6A9EE9B94D8A}">
        <filterColumn colId="68" showButton="0"/>
        <filterColumn colId="69" showButton="0"/>
        <filterColumn colId="70" showButton="0"/>
        <sortState xmlns:xlrd2="http://schemas.microsoft.com/office/spreadsheetml/2017/richdata2" ref="A7:BZ54">
          <sortCondition ref="B7:B54"/>
          <sortCondition ref="A7:A54"/>
        </sortState>
      </autoFilter>
    </customSheetView>
  </customSheetViews>
  <mergeCells count="11">
    <mergeCell ref="BU4:BX4"/>
    <mergeCell ref="BU5:BX5"/>
    <mergeCell ref="BQ3:BZ3"/>
    <mergeCell ref="C5:D5"/>
    <mergeCell ref="C4:D4"/>
    <mergeCell ref="BQ5:BT5"/>
    <mergeCell ref="G5:BK5"/>
    <mergeCell ref="BL5:BN5"/>
    <mergeCell ref="BL4:BN4"/>
    <mergeCell ref="G4:BK4"/>
    <mergeCell ref="BQ4:BT4"/>
  </mergeCells>
  <phoneticPr fontId="50" type="noConversion"/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4A56CA-99E3-4D07-835A-A4D848C58677}">
          <x14:formula1>
            <xm:f>Thresholds_Rates!$H$12:$H$14</xm:f>
          </x14:formula1>
          <xm:sqref>BP8:BP54</xm:sqref>
        </x14:dataValidation>
        <x14:dataValidation type="list" allowBlank="1" showInputMessage="1" showErrorMessage="1" xr:uid="{479D29ED-F8EC-4322-9844-C91D27710776}">
          <x14:formula1>
            <xm:f>Thresholds_Rates!$J$12:$J$12</xm:f>
          </x14:formula1>
          <xm:sqref>BO7:BO54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/>
  </sheetPr>
  <dimension ref="A2:AT268"/>
  <sheetViews>
    <sheetView showGridLines="0" zoomScale="70" zoomScaleNormal="70" workbookViewId="0">
      <pane ySplit="3" topLeftCell="A9" activePane="bottomLeft" state="frozenSplit"/>
      <selection activeCell="F19" sqref="F19"/>
      <selection pane="bottomLeft" activeCell="AL10" sqref="AL10"/>
    </sheetView>
  </sheetViews>
  <sheetFormatPr defaultColWidth="9.1796875" defaultRowHeight="14.5" x14ac:dyDescent="0.35"/>
  <cols>
    <col min="1" max="1" width="11.81640625" style="1" customWidth="1"/>
    <col min="2" max="2" width="16" style="1" customWidth="1"/>
    <col min="3" max="3" width="33.81640625" style="7" customWidth="1"/>
    <col min="4" max="4" width="20.81640625" style="1" customWidth="1"/>
    <col min="5" max="5" width="20" style="1" customWidth="1"/>
    <col min="6" max="6" width="12.26953125" style="7" customWidth="1"/>
    <col min="7" max="9" width="10.453125" style="1" customWidth="1"/>
    <col min="10" max="10" width="16.81640625" style="1" customWidth="1"/>
    <col min="11" max="15" width="10.453125" style="1" customWidth="1"/>
    <col min="16" max="16" width="47.81640625" style="1" customWidth="1"/>
    <col min="17" max="17" width="12.1796875" style="1" bestFit="1" customWidth="1"/>
    <col min="18" max="18" width="6.26953125" style="1" customWidth="1"/>
    <col min="19" max="19" width="19.453125" style="1" customWidth="1"/>
    <col min="20" max="20" width="11.7265625" style="1" customWidth="1"/>
    <col min="21" max="21" width="9.1796875" style="1" customWidth="1"/>
    <col min="22" max="22" width="25" style="1" customWidth="1"/>
    <col min="23" max="23" width="9.1796875" style="1" customWidth="1"/>
    <col min="24" max="24" width="13.453125" style="1" bestFit="1" customWidth="1"/>
    <col min="25" max="25" width="9.1796875" style="1" customWidth="1"/>
    <col min="26" max="26" width="15.453125" style="1" customWidth="1"/>
    <col min="27" max="27" width="19" style="1" customWidth="1"/>
    <col min="28" max="28" width="9.1796875" style="1" customWidth="1"/>
    <col min="29" max="29" width="25.453125" style="1" bestFit="1" customWidth="1"/>
    <col min="30" max="30" width="14.1796875" style="1" customWidth="1"/>
    <col min="31" max="31" width="9.453125" style="1" bestFit="1" customWidth="1"/>
    <col min="32" max="32" width="9.54296875" style="1" bestFit="1" customWidth="1"/>
    <col min="33" max="35" width="11" style="1" bestFit="1" customWidth="1"/>
    <col min="36" max="38" width="15" style="1" customWidth="1"/>
    <col min="39" max="39" width="11" style="1" customWidth="1"/>
    <col min="40" max="40" width="9.1796875" style="20" customWidth="1"/>
    <col min="41" max="43" width="9.1796875" style="1" customWidth="1"/>
    <col min="44" max="44" width="12" style="1" customWidth="1"/>
    <col min="45" max="45" width="11.26953125" style="1" bestFit="1" customWidth="1"/>
    <col min="46" max="46" width="9.1796875" style="1" customWidth="1"/>
    <col min="47" max="16384" width="9.1796875" style="1"/>
  </cols>
  <sheetData>
    <row r="2" spans="1:46" ht="116.25" customHeight="1" x14ac:dyDescent="0.35">
      <c r="A2" s="465" t="s">
        <v>291</v>
      </c>
      <c r="B2" s="465"/>
      <c r="C2" s="466"/>
      <c r="D2" s="465" t="s">
        <v>292</v>
      </c>
      <c r="E2" s="465"/>
      <c r="F2" s="5"/>
      <c r="G2" s="3"/>
      <c r="H2" s="3"/>
      <c r="I2" s="3"/>
      <c r="J2" s="3"/>
      <c r="K2" s="3"/>
      <c r="L2" s="3" t="s">
        <v>293</v>
      </c>
      <c r="M2" s="3"/>
      <c r="N2" s="3"/>
      <c r="O2" s="3" t="s">
        <v>293</v>
      </c>
      <c r="P2" s="69" t="s">
        <v>294</v>
      </c>
      <c r="Q2" s="68"/>
      <c r="R2" s="3"/>
      <c r="S2" s="5" t="s">
        <v>295</v>
      </c>
      <c r="T2" s="3"/>
      <c r="U2" s="3"/>
      <c r="V2" s="70" t="s">
        <v>296</v>
      </c>
      <c r="W2" s="71" t="s">
        <v>297</v>
      </c>
      <c r="X2" s="3"/>
      <c r="Y2" s="3"/>
      <c r="Z2" s="3"/>
      <c r="AA2" s="3"/>
      <c r="AB2" s="3"/>
      <c r="AC2" s="70" t="s">
        <v>298</v>
      </c>
      <c r="AD2" s="71" t="s">
        <v>297</v>
      </c>
      <c r="AE2" s="3"/>
      <c r="AF2" s="3"/>
      <c r="AG2" s="3"/>
      <c r="AH2" s="3"/>
      <c r="AI2" s="3"/>
      <c r="AJ2" s="3"/>
      <c r="AK2" s="3"/>
      <c r="AL2" s="3"/>
      <c r="AM2" s="3"/>
      <c r="AO2" s="4"/>
      <c r="AP2" s="4"/>
      <c r="AQ2" s="4"/>
      <c r="AR2" s="4"/>
      <c r="AS2" s="4"/>
    </row>
    <row r="3" spans="1:46" ht="91.5" customHeight="1" x14ac:dyDescent="0.35">
      <c r="A3" s="2" t="s">
        <v>299</v>
      </c>
      <c r="B3" s="2" t="s">
        <v>44</v>
      </c>
      <c r="C3" s="466"/>
      <c r="D3" s="2" t="s">
        <v>300</v>
      </c>
      <c r="E3" s="2" t="s">
        <v>44</v>
      </c>
      <c r="F3" s="5"/>
      <c r="G3" s="2" t="s">
        <v>301</v>
      </c>
      <c r="H3" s="15" t="s">
        <v>44</v>
      </c>
      <c r="I3" s="6"/>
      <c r="J3" s="15" t="s">
        <v>302</v>
      </c>
      <c r="K3" s="15" t="s">
        <v>44</v>
      </c>
      <c r="L3" s="6"/>
      <c r="M3" s="197" t="s">
        <v>303</v>
      </c>
      <c r="N3" s="198" t="s">
        <v>44</v>
      </c>
      <c r="O3" s="6"/>
      <c r="P3" s="197" t="s">
        <v>304</v>
      </c>
      <c r="Q3" s="15" t="s">
        <v>44</v>
      </c>
      <c r="R3" s="6"/>
      <c r="S3" s="197" t="s">
        <v>305</v>
      </c>
      <c r="T3" s="197" t="s">
        <v>44</v>
      </c>
      <c r="U3" s="3"/>
      <c r="V3" s="2" t="s">
        <v>266</v>
      </c>
      <c r="W3" s="2" t="s">
        <v>306</v>
      </c>
      <c r="X3" s="2" t="s">
        <v>44</v>
      </c>
      <c r="Y3" s="2" t="s">
        <v>307</v>
      </c>
      <c r="Z3" s="2" t="s">
        <v>308</v>
      </c>
      <c r="AA3" s="2" t="s">
        <v>309</v>
      </c>
      <c r="AB3" s="3"/>
      <c r="AC3" s="2" t="s">
        <v>272</v>
      </c>
      <c r="AD3" s="2" t="s">
        <v>306</v>
      </c>
      <c r="AE3" s="2" t="s">
        <v>44</v>
      </c>
      <c r="AF3" s="2" t="s">
        <v>307</v>
      </c>
      <c r="AG3" s="2" t="s">
        <v>308</v>
      </c>
      <c r="AH3" s="2" t="s">
        <v>309</v>
      </c>
      <c r="AI3" s="3"/>
      <c r="AJ3" s="2" t="s">
        <v>331</v>
      </c>
      <c r="AK3" s="2" t="s">
        <v>44</v>
      </c>
      <c r="AL3" s="6"/>
      <c r="AM3" s="3"/>
      <c r="AN3" s="21" t="s">
        <v>310</v>
      </c>
      <c r="AO3" s="7"/>
      <c r="AP3" s="7"/>
      <c r="AQ3" s="7"/>
      <c r="AR3" s="7"/>
      <c r="AS3" s="7"/>
      <c r="AT3" s="7"/>
    </row>
    <row r="4" spans="1:46" ht="37" x14ac:dyDescent="0.3">
      <c r="A4" s="8">
        <v>1</v>
      </c>
      <c r="B4" s="173" t="s">
        <v>311</v>
      </c>
      <c r="C4" s="113" t="s">
        <v>312</v>
      </c>
      <c r="D4" s="8">
        <v>1</v>
      </c>
      <c r="E4" s="173" t="s">
        <v>311</v>
      </c>
      <c r="F4" s="111"/>
      <c r="G4" s="19">
        <v>1</v>
      </c>
      <c r="H4" s="252">
        <v>69757</v>
      </c>
      <c r="I4" s="253"/>
      <c r="J4" s="252">
        <v>1</v>
      </c>
      <c r="K4" s="252">
        <v>71822</v>
      </c>
      <c r="L4" s="11"/>
      <c r="M4" s="8">
        <v>1</v>
      </c>
      <c r="N4" s="252">
        <v>32398</v>
      </c>
      <c r="O4" s="11"/>
      <c r="P4" s="8">
        <v>1</v>
      </c>
      <c r="Q4" s="18">
        <v>38619</v>
      </c>
      <c r="R4" s="53"/>
      <c r="S4" s="52">
        <v>1</v>
      </c>
      <c r="T4" s="55">
        <v>105504</v>
      </c>
      <c r="U4" s="3"/>
      <c r="V4" s="8">
        <v>36</v>
      </c>
      <c r="W4" s="12">
        <v>0.05</v>
      </c>
      <c r="X4" s="123">
        <f t="shared" ref="X4:X16" si="0">IF($W$2="Pre- pay award",SUMIF($A:$A,V4,$B:$B),SUMIF($D:$D,V4,$E:$E))</f>
        <v>45163</v>
      </c>
      <c r="Y4" s="116">
        <f t="shared" ref="Y4:Y16" si="1">ROUND(X4+(X4*W4),0)</f>
        <v>47421</v>
      </c>
      <c r="Z4" s="12">
        <v>0.15</v>
      </c>
      <c r="AA4" s="116">
        <f t="shared" ref="AA4:AA16" si="2">ROUND(X4*Z4,0)</f>
        <v>6774</v>
      </c>
      <c r="AB4" s="3"/>
      <c r="AC4" s="8">
        <v>45</v>
      </c>
      <c r="AD4" s="12">
        <v>0.1</v>
      </c>
      <c r="AE4" s="123">
        <f t="shared" ref="AE4:AE16" si="3">IF($AD$2="Pre- pay award",SUMIF($A:$A,AC4,$B:$B),SUMIF($D:$D,AC4,$E:$E))</f>
        <v>58596</v>
      </c>
      <c r="AF4" s="116">
        <f t="shared" ref="AF4:AF16" si="4">ROUND(AE4+(AE4*AD4),0)</f>
        <v>64456</v>
      </c>
      <c r="AG4" s="12">
        <v>0.15</v>
      </c>
      <c r="AH4" s="116">
        <f t="shared" ref="AH4:AH16" si="5">ROUND(AE4*AG4,0)</f>
        <v>8789</v>
      </c>
      <c r="AI4" s="3"/>
      <c r="AJ4" s="260">
        <v>10</v>
      </c>
      <c r="AK4" s="261">
        <v>25351</v>
      </c>
      <c r="AL4" s="14"/>
      <c r="AM4" s="3"/>
      <c r="AN4" s="22" t="str">
        <f ca="1">IFERROR(MATCH(A4,OFFSET(Grades!$A$6,MATCH('Standard rates calculator'!$B$6,LIST,0),6,1,SUMIF(Grades!$A:$A,'Standard rates calculator'!$B$6,Grades!$F:$F)),0),"-")</f>
        <v>-</v>
      </c>
    </row>
    <row r="5" spans="1:46" ht="37" x14ac:dyDescent="0.3">
      <c r="A5" s="8">
        <v>2</v>
      </c>
      <c r="B5" s="174" t="s">
        <v>311</v>
      </c>
      <c r="C5" s="113" t="s">
        <v>313</v>
      </c>
      <c r="D5" s="8">
        <v>2</v>
      </c>
      <c r="E5" s="174" t="s">
        <v>311</v>
      </c>
      <c r="F5" s="254"/>
      <c r="G5" s="19">
        <v>2</v>
      </c>
      <c r="H5" s="252">
        <v>71130</v>
      </c>
      <c r="I5" s="253"/>
      <c r="J5" s="252">
        <v>2</v>
      </c>
      <c r="K5" s="252">
        <v>73950</v>
      </c>
      <c r="L5" s="11"/>
      <c r="M5" s="8">
        <v>2</v>
      </c>
      <c r="N5" s="252">
        <v>37303</v>
      </c>
      <c r="O5" s="11"/>
      <c r="P5" s="8">
        <v>2</v>
      </c>
      <c r="Q5" s="18">
        <v>40470</v>
      </c>
      <c r="R5" s="54"/>
      <c r="S5" s="52">
        <v>2</v>
      </c>
      <c r="T5" s="18">
        <v>111714</v>
      </c>
      <c r="U5" s="3"/>
      <c r="V5" s="8">
        <v>37</v>
      </c>
      <c r="W5" s="12">
        <v>0.05</v>
      </c>
      <c r="X5" s="123">
        <f t="shared" si="0"/>
        <v>46485</v>
      </c>
      <c r="Y5" s="116">
        <f t="shared" si="1"/>
        <v>48809</v>
      </c>
      <c r="Z5" s="12">
        <v>0.15</v>
      </c>
      <c r="AA5" s="116">
        <f t="shared" si="2"/>
        <v>6973</v>
      </c>
      <c r="AB5" s="3"/>
      <c r="AC5" s="8">
        <v>46</v>
      </c>
      <c r="AD5" s="12">
        <v>0.1</v>
      </c>
      <c r="AE5" s="123">
        <f t="shared" si="3"/>
        <v>60321</v>
      </c>
      <c r="AF5" s="116">
        <f t="shared" si="4"/>
        <v>66353</v>
      </c>
      <c r="AG5" s="12">
        <v>0.15</v>
      </c>
      <c r="AH5" s="116">
        <f t="shared" si="5"/>
        <v>9048</v>
      </c>
      <c r="AI5" s="3"/>
      <c r="AJ5" s="260">
        <v>11</v>
      </c>
      <c r="AK5" s="261">
        <v>25763</v>
      </c>
      <c r="AL5" s="14"/>
      <c r="AM5" s="3"/>
      <c r="AN5" s="22" t="str">
        <f ca="1">IFERROR(MATCH(A5,OFFSET(Grades!$A$6,MATCH('Standard rates calculator'!$B$6,LIST,0),6,1,SUMIF(Grades!$A:$A,'Standard rates calculator'!$B$6,Grades!$F:$F)),0),"-")</f>
        <v>-</v>
      </c>
    </row>
    <row r="6" spans="1:46" ht="18.75" customHeight="1" x14ac:dyDescent="0.3">
      <c r="A6" s="8">
        <v>3</v>
      </c>
      <c r="B6" s="174" t="s">
        <v>311</v>
      </c>
      <c r="C6" s="467" t="s">
        <v>314</v>
      </c>
      <c r="D6" s="8">
        <v>3</v>
      </c>
      <c r="E6" s="173" t="s">
        <v>311</v>
      </c>
      <c r="F6" s="254"/>
      <c r="G6" s="19">
        <v>3</v>
      </c>
      <c r="H6" s="252">
        <v>72532</v>
      </c>
      <c r="I6" s="253"/>
      <c r="J6" s="252">
        <v>3</v>
      </c>
      <c r="K6" s="252">
        <v>76142</v>
      </c>
      <c r="L6" s="11"/>
      <c r="M6" s="8">
        <v>3</v>
      </c>
      <c r="N6" s="252">
        <v>43923</v>
      </c>
      <c r="O6" s="11"/>
      <c r="P6" s="8">
        <v>3</v>
      </c>
      <c r="Q6" s="18">
        <v>42321</v>
      </c>
      <c r="R6" s="54"/>
      <c r="S6" s="52">
        <v>3</v>
      </c>
      <c r="T6" s="18">
        <v>114894</v>
      </c>
      <c r="U6" s="3"/>
      <c r="V6" s="8">
        <v>38</v>
      </c>
      <c r="W6" s="12">
        <v>0.05</v>
      </c>
      <c r="X6" s="123">
        <f t="shared" si="0"/>
        <v>47874</v>
      </c>
      <c r="Y6" s="116">
        <f t="shared" si="1"/>
        <v>50268</v>
      </c>
      <c r="Z6" s="12">
        <v>0.15</v>
      </c>
      <c r="AA6" s="116">
        <f t="shared" si="2"/>
        <v>7181</v>
      </c>
      <c r="AB6" s="3"/>
      <c r="AC6" s="8">
        <v>47</v>
      </c>
      <c r="AD6" s="12">
        <v>0.1</v>
      </c>
      <c r="AE6" s="123">
        <f t="shared" si="3"/>
        <v>62098</v>
      </c>
      <c r="AF6" s="116">
        <f t="shared" si="4"/>
        <v>68308</v>
      </c>
      <c r="AG6" s="12">
        <v>0.15</v>
      </c>
      <c r="AH6" s="116">
        <f t="shared" si="5"/>
        <v>9315</v>
      </c>
      <c r="AI6" s="3"/>
      <c r="AJ6" s="260">
        <v>12</v>
      </c>
      <c r="AK6" s="261">
        <v>26104</v>
      </c>
      <c r="AL6" s="14"/>
      <c r="AM6" s="3"/>
      <c r="AN6" s="22" t="str">
        <f ca="1">IFERROR(MATCH(A6,OFFSET(Grades!$A$6,MATCH('Standard rates calculator'!$B$6,LIST,0),6,1,SUMIF(Grades!$A:$A,'Standard rates calculator'!$B$6,Grades!$F:$F)),0),"-")</f>
        <v>-</v>
      </c>
    </row>
    <row r="7" spans="1:46" ht="18.75" customHeight="1" x14ac:dyDescent="0.3">
      <c r="A7" s="8">
        <v>4</v>
      </c>
      <c r="B7" s="174" t="s">
        <v>311</v>
      </c>
      <c r="C7" s="467"/>
      <c r="D7" s="8">
        <v>4</v>
      </c>
      <c r="E7" s="174" t="s">
        <v>311</v>
      </c>
      <c r="F7" s="254"/>
      <c r="G7" s="19">
        <v>4</v>
      </c>
      <c r="H7" s="252">
        <v>73961</v>
      </c>
      <c r="I7" s="253"/>
      <c r="J7" s="252">
        <v>4</v>
      </c>
      <c r="K7" s="252">
        <v>78399</v>
      </c>
      <c r="L7" s="11"/>
      <c r="M7" s="8">
        <v>4</v>
      </c>
      <c r="N7" s="252">
        <v>55329</v>
      </c>
      <c r="O7" s="11"/>
      <c r="P7" s="8">
        <v>4</v>
      </c>
      <c r="Q7" s="18">
        <v>44171</v>
      </c>
      <c r="R7" s="54"/>
      <c r="S7" s="52">
        <v>4</v>
      </c>
      <c r="T7" s="18">
        <v>126018</v>
      </c>
      <c r="U7" s="3"/>
      <c r="V7" s="8">
        <v>39</v>
      </c>
      <c r="W7" s="12">
        <v>0.05</v>
      </c>
      <c r="X7" s="123">
        <f t="shared" si="0"/>
        <v>49250</v>
      </c>
      <c r="Y7" s="116">
        <f t="shared" si="1"/>
        <v>51713</v>
      </c>
      <c r="Z7" s="12">
        <v>0.15</v>
      </c>
      <c r="AA7" s="116">
        <f t="shared" si="2"/>
        <v>7388</v>
      </c>
      <c r="AB7" s="3"/>
      <c r="AC7" s="8">
        <v>48</v>
      </c>
      <c r="AD7" s="12">
        <v>0.1</v>
      </c>
      <c r="AE7" s="123">
        <f t="shared" si="3"/>
        <v>63929</v>
      </c>
      <c r="AF7" s="116">
        <f t="shared" si="4"/>
        <v>70322</v>
      </c>
      <c r="AG7" s="12">
        <v>0.15</v>
      </c>
      <c r="AH7" s="116">
        <f t="shared" si="5"/>
        <v>9589</v>
      </c>
      <c r="AI7" s="3"/>
      <c r="AJ7" s="260">
        <v>13</v>
      </c>
      <c r="AK7" s="261">
        <v>26603</v>
      </c>
      <c r="AL7" s="14"/>
      <c r="AM7" s="3"/>
      <c r="AN7" s="22" t="str">
        <f ca="1">IFERROR(MATCH(A7,OFFSET(Grades!$A$6,MATCH('Standard rates calculator'!$B$6,LIST,0),6,1,SUMIF(Grades!$A:$A,'Standard rates calculator'!$B$6,Grades!$F:$F)),0),"-")</f>
        <v>-</v>
      </c>
    </row>
    <row r="8" spans="1:46" ht="18.75" customHeight="1" x14ac:dyDescent="0.3">
      <c r="A8" s="8">
        <v>5</v>
      </c>
      <c r="B8" s="174" t="s">
        <v>311</v>
      </c>
      <c r="C8" s="467"/>
      <c r="D8" s="8">
        <v>5</v>
      </c>
      <c r="E8" s="173" t="s">
        <v>311</v>
      </c>
      <c r="F8" s="254"/>
      <c r="G8" s="19">
        <v>5</v>
      </c>
      <c r="H8" s="252">
        <v>75420</v>
      </c>
      <c r="I8" s="253"/>
      <c r="J8" s="252">
        <v>5</v>
      </c>
      <c r="K8" s="252">
        <v>80724</v>
      </c>
      <c r="L8" s="11"/>
      <c r="M8" s="8">
        <v>5</v>
      </c>
      <c r="N8" s="252">
        <v>63152</v>
      </c>
      <c r="O8" s="11"/>
      <c r="P8" s="8">
        <v>5</v>
      </c>
      <c r="Q8" s="18">
        <v>46404</v>
      </c>
      <c r="R8" s="54"/>
      <c r="S8" s="8">
        <v>5</v>
      </c>
      <c r="T8" s="18">
        <v>139882</v>
      </c>
      <c r="U8" s="3"/>
      <c r="V8" s="8">
        <v>40</v>
      </c>
      <c r="W8" s="12">
        <v>0.05</v>
      </c>
      <c r="X8" s="123">
        <f t="shared" si="0"/>
        <v>50694</v>
      </c>
      <c r="Y8" s="116">
        <f t="shared" si="1"/>
        <v>53229</v>
      </c>
      <c r="Z8" s="12">
        <v>0.15</v>
      </c>
      <c r="AA8" s="116">
        <f t="shared" si="2"/>
        <v>7604</v>
      </c>
      <c r="AB8" s="3"/>
      <c r="AC8" s="8">
        <v>49</v>
      </c>
      <c r="AD8" s="12">
        <v>0.1</v>
      </c>
      <c r="AE8" s="123">
        <f t="shared" si="3"/>
        <v>65814</v>
      </c>
      <c r="AF8" s="116">
        <f t="shared" si="4"/>
        <v>72395</v>
      </c>
      <c r="AG8" s="12">
        <v>0.15</v>
      </c>
      <c r="AH8" s="116">
        <f t="shared" si="5"/>
        <v>9872</v>
      </c>
      <c r="AI8" s="3"/>
      <c r="AJ8" s="260">
        <v>14</v>
      </c>
      <c r="AK8" s="261">
        <v>27154</v>
      </c>
      <c r="AL8" s="14"/>
      <c r="AM8" s="3"/>
      <c r="AN8" s="22" t="str">
        <f ca="1">IFERROR(MATCH(A8,OFFSET(Grades!$A$6,MATCH('Standard rates calculator'!$B$6,LIST,0),6,1,SUMIF(Grades!$A:$A,'Standard rates calculator'!$B$6,Grades!$F:$F)),0),"-")</f>
        <v>-</v>
      </c>
    </row>
    <row r="9" spans="1:46" ht="18.75" customHeight="1" x14ac:dyDescent="0.3">
      <c r="A9" s="8">
        <v>6</v>
      </c>
      <c r="B9" s="174" t="s">
        <v>311</v>
      </c>
      <c r="C9" s="467"/>
      <c r="D9" s="8">
        <v>6</v>
      </c>
      <c r="E9" s="174" t="s">
        <v>311</v>
      </c>
      <c r="F9" s="254"/>
      <c r="G9" s="19">
        <v>6</v>
      </c>
      <c r="H9" s="252">
        <v>76906</v>
      </c>
      <c r="I9" s="253"/>
      <c r="J9" s="252">
        <v>6</v>
      </c>
      <c r="K9" s="252">
        <v>83119</v>
      </c>
      <c r="L9" s="11"/>
      <c r="M9" s="253"/>
      <c r="N9" s="253"/>
      <c r="O9" s="11"/>
      <c r="P9" s="8">
        <v>6</v>
      </c>
      <c r="Q9" s="18">
        <v>48637</v>
      </c>
      <c r="R9" s="3"/>
      <c r="S9" s="3"/>
      <c r="T9" s="291"/>
      <c r="U9" s="3"/>
      <c r="V9" s="8">
        <v>41</v>
      </c>
      <c r="W9" s="12">
        <v>0.05</v>
      </c>
      <c r="X9" s="123">
        <f t="shared" si="0"/>
        <v>52183</v>
      </c>
      <c r="Y9" s="116">
        <f t="shared" si="1"/>
        <v>54792</v>
      </c>
      <c r="Z9" s="12">
        <v>0.15</v>
      </c>
      <c r="AA9" s="116">
        <f t="shared" si="2"/>
        <v>7827</v>
      </c>
      <c r="AB9" s="3"/>
      <c r="AC9" s="8">
        <v>50</v>
      </c>
      <c r="AD9" s="12">
        <v>0.1</v>
      </c>
      <c r="AE9" s="123">
        <f t="shared" si="3"/>
        <v>67757</v>
      </c>
      <c r="AF9" s="116">
        <f t="shared" si="4"/>
        <v>74533</v>
      </c>
      <c r="AG9" s="12">
        <v>0.15</v>
      </c>
      <c r="AH9" s="116">
        <f t="shared" si="5"/>
        <v>10164</v>
      </c>
      <c r="AI9" s="3"/>
      <c r="AJ9" s="260">
        <v>15</v>
      </c>
      <c r="AK9" s="261">
        <v>27665</v>
      </c>
      <c r="AL9" s="14"/>
      <c r="AM9" s="3"/>
      <c r="AN9" s="22" t="str">
        <f ca="1">IFERROR(MATCH(A9,OFFSET(Grades!$A$6,MATCH('Standard rates calculator'!$B$6,LIST,0),6,1,SUMIF(Grades!$A:$A,'Standard rates calculator'!$B$6,Grades!$F:$F)),0),"-")</f>
        <v>-</v>
      </c>
    </row>
    <row r="10" spans="1:46" ht="18.75" customHeight="1" x14ac:dyDescent="0.3">
      <c r="A10" s="8">
        <v>7</v>
      </c>
      <c r="B10" s="174" t="s">
        <v>311</v>
      </c>
      <c r="C10" s="467"/>
      <c r="D10" s="8">
        <v>7</v>
      </c>
      <c r="E10" s="173" t="s">
        <v>311</v>
      </c>
      <c r="F10" s="254"/>
      <c r="G10" s="19">
        <v>7</v>
      </c>
      <c r="H10" s="252">
        <v>78422</v>
      </c>
      <c r="I10" s="253"/>
      <c r="J10" s="252">
        <v>7</v>
      </c>
      <c r="K10" s="252">
        <v>85586</v>
      </c>
      <c r="L10" s="11"/>
      <c r="M10" s="253"/>
      <c r="N10" s="253"/>
      <c r="O10" s="11"/>
      <c r="P10" s="8">
        <v>7</v>
      </c>
      <c r="Q10" s="18">
        <v>50871</v>
      </c>
      <c r="R10" s="3"/>
      <c r="S10" s="3"/>
      <c r="T10" s="291"/>
      <c r="U10" s="3"/>
      <c r="V10" s="8">
        <v>42</v>
      </c>
      <c r="W10" s="12">
        <v>0.05</v>
      </c>
      <c r="X10" s="123">
        <f t="shared" si="0"/>
        <v>53715</v>
      </c>
      <c r="Y10" s="116">
        <f t="shared" si="1"/>
        <v>56401</v>
      </c>
      <c r="Z10" s="12">
        <v>0.15</v>
      </c>
      <c r="AA10" s="116">
        <f t="shared" si="2"/>
        <v>8057</v>
      </c>
      <c r="AB10" s="3"/>
      <c r="AC10" s="8">
        <v>51</v>
      </c>
      <c r="AD10" s="12">
        <v>0.15</v>
      </c>
      <c r="AE10" s="123">
        <f t="shared" si="3"/>
        <v>69757</v>
      </c>
      <c r="AF10" s="116">
        <f t="shared" si="4"/>
        <v>80221</v>
      </c>
      <c r="AG10" s="12">
        <v>0.2</v>
      </c>
      <c r="AH10" s="116">
        <f t="shared" si="5"/>
        <v>13951</v>
      </c>
      <c r="AI10" s="3"/>
      <c r="AJ10" s="260">
        <v>16</v>
      </c>
      <c r="AK10" s="261">
        <v>28348</v>
      </c>
      <c r="AL10" s="14"/>
      <c r="AM10" s="3"/>
      <c r="AN10" s="22" t="str">
        <f ca="1">IFERROR(MATCH(A10,OFFSET(Grades!$A$6,MATCH('Standard rates calculator'!$B$6,LIST,0),6,1,SUMIF(Grades!$A:$A,'Standard rates calculator'!$B$6,Grades!$F:$F)),0),"-")</f>
        <v>-</v>
      </c>
    </row>
    <row r="11" spans="1:46" ht="18.75" customHeight="1" x14ac:dyDescent="0.3">
      <c r="A11" s="8">
        <v>8</v>
      </c>
      <c r="B11" s="174" t="s">
        <v>311</v>
      </c>
      <c r="C11" s="467"/>
      <c r="D11" s="8">
        <v>8</v>
      </c>
      <c r="E11" s="174" t="s">
        <v>311</v>
      </c>
      <c r="F11" s="254"/>
      <c r="G11" s="19">
        <v>8</v>
      </c>
      <c r="H11" s="252">
        <v>79968</v>
      </c>
      <c r="I11" s="253"/>
      <c r="J11" s="252">
        <v>8</v>
      </c>
      <c r="K11" s="252">
        <v>88127</v>
      </c>
      <c r="L11" s="11"/>
      <c r="M11" s="253"/>
      <c r="N11" s="253"/>
      <c r="O11" s="11"/>
      <c r="P11" s="8">
        <v>8</v>
      </c>
      <c r="Q11" s="18">
        <v>53103</v>
      </c>
      <c r="R11" s="3"/>
      <c r="S11" s="3"/>
      <c r="T11" s="291"/>
      <c r="U11" s="3"/>
      <c r="V11" s="8">
        <v>43</v>
      </c>
      <c r="W11" s="12">
        <v>0.1</v>
      </c>
      <c r="X11" s="123">
        <f t="shared" si="0"/>
        <v>55295</v>
      </c>
      <c r="Y11" s="116">
        <f t="shared" si="1"/>
        <v>60825</v>
      </c>
      <c r="Z11" s="12">
        <v>0.15</v>
      </c>
      <c r="AA11" s="116">
        <f t="shared" si="2"/>
        <v>8294</v>
      </c>
      <c r="AB11" s="3"/>
      <c r="AC11" s="8">
        <v>52</v>
      </c>
      <c r="AD11" s="12">
        <v>0.15</v>
      </c>
      <c r="AE11" s="123">
        <f t="shared" si="3"/>
        <v>71797</v>
      </c>
      <c r="AF11" s="116">
        <f t="shared" si="4"/>
        <v>82567</v>
      </c>
      <c r="AG11" s="12">
        <v>0.2</v>
      </c>
      <c r="AH11" s="116">
        <f t="shared" si="5"/>
        <v>14359</v>
      </c>
      <c r="AI11" s="3"/>
      <c r="AJ11" s="260">
        <v>17</v>
      </c>
      <c r="AK11" s="261">
        <v>29030</v>
      </c>
      <c r="AL11" s="14"/>
      <c r="AM11" s="3"/>
      <c r="AN11" s="22" t="str">
        <f ca="1">IFERROR(MATCH(A11,OFFSET(Grades!$A$6,MATCH('Standard rates calculator'!$B$6,LIST,0),6,1,SUMIF(Grades!$A:$A,'Standard rates calculator'!$B$6,Grades!$F:$F)),0),"-")</f>
        <v>-</v>
      </c>
    </row>
    <row r="12" spans="1:46" ht="18.75" customHeight="1" x14ac:dyDescent="0.3">
      <c r="A12" s="8">
        <v>9</v>
      </c>
      <c r="B12" s="174" t="s">
        <v>311</v>
      </c>
      <c r="C12" s="467"/>
      <c r="D12" s="8">
        <v>9</v>
      </c>
      <c r="E12" s="173" t="s">
        <v>311</v>
      </c>
      <c r="F12" s="254"/>
      <c r="G12" s="19">
        <v>9</v>
      </c>
      <c r="H12" s="252">
        <v>81546</v>
      </c>
      <c r="I12" s="253"/>
      <c r="J12" s="252">
        <v>9</v>
      </c>
      <c r="K12" s="252">
        <v>90742</v>
      </c>
      <c r="L12" s="11"/>
      <c r="M12" s="253"/>
      <c r="N12" s="253"/>
      <c r="O12" s="11"/>
      <c r="P12" s="8">
        <v>9</v>
      </c>
      <c r="Q12" s="18">
        <v>55336</v>
      </c>
      <c r="R12" s="3"/>
      <c r="S12" s="3"/>
      <c r="T12" s="3"/>
      <c r="U12" s="3"/>
      <c r="V12" s="8">
        <v>44</v>
      </c>
      <c r="W12" s="12">
        <v>0.1</v>
      </c>
      <c r="X12" s="123">
        <f t="shared" si="0"/>
        <v>56921</v>
      </c>
      <c r="Y12" s="116">
        <f t="shared" si="1"/>
        <v>62613</v>
      </c>
      <c r="Z12" s="12">
        <v>0.15</v>
      </c>
      <c r="AA12" s="116">
        <f t="shared" si="2"/>
        <v>8538</v>
      </c>
      <c r="AB12" s="3"/>
      <c r="AC12" s="8">
        <v>53</v>
      </c>
      <c r="AD12" s="12">
        <v>0.15</v>
      </c>
      <c r="AE12" s="123">
        <f t="shared" si="3"/>
        <v>73918</v>
      </c>
      <c r="AF12" s="116">
        <f t="shared" si="4"/>
        <v>85006</v>
      </c>
      <c r="AG12" s="12">
        <v>0.2</v>
      </c>
      <c r="AH12" s="116">
        <f t="shared" si="5"/>
        <v>14784</v>
      </c>
      <c r="AI12" s="3"/>
      <c r="AJ12" s="260">
        <v>18</v>
      </c>
      <c r="AK12" s="261">
        <v>29823</v>
      </c>
      <c r="AL12" s="14"/>
      <c r="AM12" s="3"/>
      <c r="AN12" s="22" t="str">
        <f ca="1">IFERROR(MATCH(A12,OFFSET(Grades!$A$6,MATCH('Standard rates calculator'!$B$6,LIST,0),6,1,SUMIF(Grades!$A:$A,'Standard rates calculator'!$B$6,Grades!$F:$F)),0),"-")</f>
        <v>-</v>
      </c>
    </row>
    <row r="13" spans="1:46" ht="18.75" customHeight="1" x14ac:dyDescent="0.3">
      <c r="A13" s="8">
        <v>10</v>
      </c>
      <c r="B13" s="131">
        <v>23563</v>
      </c>
      <c r="C13" s="113"/>
      <c r="D13" s="8">
        <v>10</v>
      </c>
      <c r="E13" s="174" t="s">
        <v>311</v>
      </c>
      <c r="F13" s="254"/>
      <c r="G13" s="19">
        <v>10</v>
      </c>
      <c r="H13" s="252">
        <v>83155</v>
      </c>
      <c r="I13" s="253"/>
      <c r="J13" s="252">
        <v>10</v>
      </c>
      <c r="K13" s="252">
        <v>93438</v>
      </c>
      <c r="L13" s="11"/>
      <c r="M13" s="253"/>
      <c r="N13" s="253"/>
      <c r="O13" s="11"/>
      <c r="P13" s="8">
        <v>10</v>
      </c>
      <c r="Q13" s="18">
        <v>61142</v>
      </c>
      <c r="R13" s="3"/>
      <c r="S13" s="3"/>
      <c r="T13" s="3"/>
      <c r="U13" s="3"/>
      <c r="V13" s="8">
        <v>45</v>
      </c>
      <c r="W13" s="12">
        <v>0.1</v>
      </c>
      <c r="X13" s="123">
        <f t="shared" si="0"/>
        <v>58596</v>
      </c>
      <c r="Y13" s="116">
        <f t="shared" si="1"/>
        <v>64456</v>
      </c>
      <c r="Z13" s="12">
        <v>0.15</v>
      </c>
      <c r="AA13" s="116">
        <f t="shared" si="2"/>
        <v>8789</v>
      </c>
      <c r="AB13" s="3"/>
      <c r="AC13" s="8">
        <v>54</v>
      </c>
      <c r="AD13" s="12">
        <v>0.15</v>
      </c>
      <c r="AE13" s="123">
        <f t="shared" si="3"/>
        <v>76106</v>
      </c>
      <c r="AF13" s="116">
        <f t="shared" si="4"/>
        <v>87522</v>
      </c>
      <c r="AG13" s="12">
        <v>0.2</v>
      </c>
      <c r="AH13" s="116">
        <f t="shared" si="5"/>
        <v>15221</v>
      </c>
      <c r="AI13" s="3"/>
      <c r="AJ13" s="260">
        <v>19</v>
      </c>
      <c r="AK13" s="261">
        <v>30652</v>
      </c>
      <c r="AL13" s="14"/>
      <c r="AM13" s="3"/>
      <c r="AN13" s="22">
        <f ca="1">IFERROR(MATCH(A13,OFFSET(Grades!$A$6,MATCH('Standard rates calculator'!$B$6,LIST,0),6,1,SUMIF(Grades!$A:$A,'Standard rates calculator'!$B$6,Grades!$F:$F)),0),"-")</f>
        <v>1</v>
      </c>
    </row>
    <row r="14" spans="1:46" ht="18.75" customHeight="1" x14ac:dyDescent="0.3">
      <c r="A14" s="8">
        <v>11</v>
      </c>
      <c r="B14" s="131">
        <v>23946</v>
      </c>
      <c r="C14" s="113"/>
      <c r="D14" s="8">
        <v>11</v>
      </c>
      <c r="E14" s="173" t="s">
        <v>311</v>
      </c>
      <c r="F14" s="254"/>
      <c r="G14" s="19">
        <v>11</v>
      </c>
      <c r="H14" s="252">
        <v>84794</v>
      </c>
      <c r="I14" s="253"/>
      <c r="J14" s="252">
        <v>11</v>
      </c>
      <c r="K14" s="252">
        <v>96214</v>
      </c>
      <c r="L14" s="11"/>
      <c r="M14" s="253"/>
      <c r="N14" s="253"/>
      <c r="O14" s="11"/>
      <c r="P14" s="8">
        <v>11</v>
      </c>
      <c r="Q14" s="18">
        <v>65955</v>
      </c>
      <c r="R14" s="3"/>
      <c r="S14" s="3"/>
      <c r="T14" s="3"/>
      <c r="U14" s="3"/>
      <c r="V14" s="8">
        <v>46</v>
      </c>
      <c r="W14" s="12">
        <v>0.1</v>
      </c>
      <c r="X14" s="123">
        <f t="shared" si="0"/>
        <v>60321</v>
      </c>
      <c r="Y14" s="116">
        <f t="shared" si="1"/>
        <v>66353</v>
      </c>
      <c r="Z14" s="12">
        <v>0.15</v>
      </c>
      <c r="AA14" s="116">
        <f t="shared" si="2"/>
        <v>9048</v>
      </c>
      <c r="AB14" s="3"/>
      <c r="AC14" s="8">
        <v>55</v>
      </c>
      <c r="AD14" s="12">
        <v>0.15</v>
      </c>
      <c r="AE14" s="123">
        <f t="shared" si="3"/>
        <v>78356</v>
      </c>
      <c r="AF14" s="116">
        <f t="shared" si="4"/>
        <v>90109</v>
      </c>
      <c r="AG14" s="12">
        <v>0.2</v>
      </c>
      <c r="AH14" s="116">
        <f t="shared" si="5"/>
        <v>15671</v>
      </c>
      <c r="AI14" s="3"/>
      <c r="AJ14" s="260">
        <v>20</v>
      </c>
      <c r="AK14" s="261">
        <v>31554</v>
      </c>
      <c r="AL14" s="14"/>
      <c r="AM14" s="3"/>
      <c r="AN14" s="22">
        <f ca="1">IFERROR(MATCH(A14,OFFSET(Grades!$A$6,MATCH('Standard rates calculator'!$B$6,LIST,0),6,1,SUMIF(Grades!$A:$A,'Standard rates calculator'!$B$6,Grades!$F:$F)),0),"-")</f>
        <v>2</v>
      </c>
    </row>
    <row r="15" spans="1:46" ht="18.75" customHeight="1" x14ac:dyDescent="0.3">
      <c r="A15" s="8">
        <v>12</v>
      </c>
      <c r="B15" s="131">
        <v>24263</v>
      </c>
      <c r="C15" s="113"/>
      <c r="D15" s="8">
        <v>12</v>
      </c>
      <c r="E15" s="174" t="s">
        <v>311</v>
      </c>
      <c r="F15" s="254"/>
      <c r="G15" s="19">
        <v>12</v>
      </c>
      <c r="H15" s="252">
        <v>86471</v>
      </c>
      <c r="I15" s="253"/>
      <c r="J15" s="252">
        <v>12</v>
      </c>
      <c r="K15" s="252">
        <v>99073</v>
      </c>
      <c r="L15" s="11"/>
      <c r="M15" s="253"/>
      <c r="N15" s="253"/>
      <c r="O15" s="11"/>
      <c r="P15" s="56">
        <v>19</v>
      </c>
      <c r="Q15" s="57">
        <v>82435</v>
      </c>
      <c r="R15" s="5"/>
      <c r="S15" s="3"/>
      <c r="T15" s="3"/>
      <c r="U15" s="3"/>
      <c r="V15" s="8">
        <v>47</v>
      </c>
      <c r="W15" s="12">
        <v>0.1</v>
      </c>
      <c r="X15" s="123">
        <f t="shared" si="0"/>
        <v>62098</v>
      </c>
      <c r="Y15" s="116">
        <f t="shared" si="1"/>
        <v>68308</v>
      </c>
      <c r="Z15" s="12">
        <v>0.15</v>
      </c>
      <c r="AA15" s="116">
        <f t="shared" si="2"/>
        <v>9315</v>
      </c>
      <c r="AB15" s="3"/>
      <c r="AC15" s="8">
        <v>56</v>
      </c>
      <c r="AD15" s="12">
        <v>0.15</v>
      </c>
      <c r="AE15" s="123">
        <f t="shared" si="3"/>
        <v>80674</v>
      </c>
      <c r="AF15" s="116">
        <f t="shared" si="4"/>
        <v>92775</v>
      </c>
      <c r="AG15" s="12">
        <v>0.2</v>
      </c>
      <c r="AH15" s="116">
        <f t="shared" si="5"/>
        <v>16135</v>
      </c>
      <c r="AI15" s="3"/>
      <c r="AJ15" s="3"/>
      <c r="AK15" s="3"/>
      <c r="AL15" s="3"/>
      <c r="AM15" s="3"/>
      <c r="AN15" s="22">
        <f ca="1">IFERROR(MATCH(A15,OFFSET(Grades!$A$6,MATCH('Standard rates calculator'!$B$6,LIST,0),6,1,SUMIF(Grades!$A:$A,'Standard rates calculator'!$B$6,Grades!$F:$F)),0),"-")</f>
        <v>3</v>
      </c>
    </row>
    <row r="16" spans="1:46" ht="18.75" customHeight="1" x14ac:dyDescent="0.3">
      <c r="A16" s="8">
        <v>13</v>
      </c>
      <c r="B16" s="131">
        <v>24727</v>
      </c>
      <c r="C16" s="113"/>
      <c r="D16" s="8">
        <v>13</v>
      </c>
      <c r="E16" s="173" t="s">
        <v>311</v>
      </c>
      <c r="F16" s="254"/>
      <c r="G16" s="19">
        <v>13</v>
      </c>
      <c r="H16" s="252">
        <v>88177</v>
      </c>
      <c r="I16" s="253"/>
      <c r="J16" s="252">
        <v>13</v>
      </c>
      <c r="K16" s="252">
        <v>102019</v>
      </c>
      <c r="L16" s="11"/>
      <c r="M16" s="253"/>
      <c r="N16" s="253"/>
      <c r="O16" s="11"/>
      <c r="P16" s="56">
        <v>20</v>
      </c>
      <c r="Q16" s="57">
        <v>88334</v>
      </c>
      <c r="R16" s="5"/>
      <c r="S16" s="3"/>
      <c r="T16" s="3"/>
      <c r="U16" s="3"/>
      <c r="V16" s="8">
        <v>48</v>
      </c>
      <c r="W16" s="12">
        <v>0.1</v>
      </c>
      <c r="X16" s="123">
        <f t="shared" si="0"/>
        <v>63929</v>
      </c>
      <c r="Y16" s="116">
        <f t="shared" si="1"/>
        <v>70322</v>
      </c>
      <c r="Z16" s="12">
        <v>0.15</v>
      </c>
      <c r="AA16" s="116">
        <f t="shared" si="2"/>
        <v>9589</v>
      </c>
      <c r="AB16" s="3"/>
      <c r="AC16" s="8">
        <v>57</v>
      </c>
      <c r="AD16" s="12">
        <v>0.15</v>
      </c>
      <c r="AE16" s="123">
        <f t="shared" si="3"/>
        <v>83061</v>
      </c>
      <c r="AF16" s="116">
        <f t="shared" si="4"/>
        <v>95520</v>
      </c>
      <c r="AG16" s="12">
        <v>0.2</v>
      </c>
      <c r="AH16" s="116">
        <f t="shared" si="5"/>
        <v>16612</v>
      </c>
      <c r="AI16" s="3"/>
      <c r="AJ16" s="3"/>
      <c r="AK16" s="3"/>
      <c r="AL16" s="3"/>
      <c r="AM16" s="3"/>
      <c r="AN16" s="22">
        <f ca="1">IFERROR(MATCH(A16,OFFSET(Grades!$A$6,MATCH('Standard rates calculator'!$B$6,LIST,0),6,1,SUMIF(Grades!$A:$A,'Standard rates calculator'!$B$6,Grades!$F:$F)),0),"-")</f>
        <v>4</v>
      </c>
    </row>
    <row r="17" spans="1:40" ht="18.75" customHeight="1" x14ac:dyDescent="0.3">
      <c r="A17" s="8">
        <v>14</v>
      </c>
      <c r="B17" s="131">
        <v>25239</v>
      </c>
      <c r="C17" s="113"/>
      <c r="D17" s="8">
        <v>14</v>
      </c>
      <c r="E17" s="174" t="s">
        <v>311</v>
      </c>
      <c r="F17" s="254"/>
      <c r="G17" s="19">
        <v>14</v>
      </c>
      <c r="H17" s="252">
        <v>89920</v>
      </c>
      <c r="I17" s="253"/>
      <c r="J17" s="252">
        <v>14</v>
      </c>
      <c r="K17" s="252">
        <v>105053</v>
      </c>
      <c r="L17" s="11"/>
      <c r="M17" s="253"/>
      <c r="N17" s="253"/>
      <c r="O17" s="11"/>
      <c r="P17" s="56">
        <v>21</v>
      </c>
      <c r="Q17" s="57">
        <v>94234</v>
      </c>
      <c r="R17" s="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22">
        <f ca="1">IFERROR(MATCH(A17,OFFSET(Grades!$A$6,MATCH('Standard rates calculator'!$B$6,LIST,0),6,1,SUMIF(Grades!$A:$A,'Standard rates calculator'!$B$6,Grades!$F:$F)),0),"-")</f>
        <v>5</v>
      </c>
    </row>
    <row r="18" spans="1:40" ht="18.75" customHeight="1" x14ac:dyDescent="0.3">
      <c r="A18" s="8">
        <v>15</v>
      </c>
      <c r="B18" s="131">
        <v>25714</v>
      </c>
      <c r="C18" s="113"/>
      <c r="D18" s="8">
        <v>15</v>
      </c>
      <c r="E18" s="173" t="s">
        <v>311</v>
      </c>
      <c r="F18" s="254"/>
      <c r="G18" s="19">
        <v>15</v>
      </c>
      <c r="H18" s="252">
        <v>91698</v>
      </c>
      <c r="I18" s="253"/>
      <c r="J18" s="252">
        <v>15</v>
      </c>
      <c r="K18" s="252">
        <v>108177</v>
      </c>
      <c r="L18" s="11"/>
      <c r="M18" s="253"/>
      <c r="N18" s="253"/>
      <c r="O18" s="11"/>
      <c r="P18" s="56">
        <v>22</v>
      </c>
      <c r="Q18" s="57">
        <v>100132</v>
      </c>
      <c r="R18" s="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2">
        <f ca="1">IFERROR(MATCH(A18,OFFSET(Grades!$A$6,MATCH('Standard rates calculator'!$B$6,LIST,0),6,1,SUMIF(Grades!$A:$A,'Standard rates calculator'!$B$6,Grades!$F:$F)),0),"-")</f>
        <v>6</v>
      </c>
    </row>
    <row r="19" spans="1:40" ht="18.75" customHeight="1" x14ac:dyDescent="0.3">
      <c r="A19" s="8">
        <v>16</v>
      </c>
      <c r="B19" s="131">
        <v>26349</v>
      </c>
      <c r="C19" s="113"/>
      <c r="D19" s="8">
        <v>16</v>
      </c>
      <c r="E19" s="174" t="s">
        <v>311</v>
      </c>
      <c r="F19" s="254"/>
      <c r="G19" s="19">
        <v>16</v>
      </c>
      <c r="H19" s="252">
        <v>93509</v>
      </c>
      <c r="I19" s="253"/>
      <c r="J19" s="252">
        <v>16</v>
      </c>
      <c r="K19" s="252">
        <v>111395</v>
      </c>
      <c r="L19" s="11"/>
      <c r="M19" s="253"/>
      <c r="N19" s="253"/>
      <c r="O19" s="11"/>
      <c r="P19" s="56">
        <v>23</v>
      </c>
      <c r="Q19" s="57">
        <v>106859</v>
      </c>
      <c r="R19" s="5"/>
      <c r="S19" s="3"/>
      <c r="T19" s="3"/>
      <c r="U19" s="3"/>
      <c r="V19" s="3"/>
      <c r="W19" s="3"/>
      <c r="X19" s="11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2">
        <f ca="1">IFERROR(MATCH(A19,OFFSET(Grades!$A$6,MATCH('Standard rates calculator'!$B$6,LIST,0),6,1,SUMIF(Grades!$A:$A,'Standard rates calculator'!$B$6,Grades!$F:$F)),0),"-")</f>
        <v>7</v>
      </c>
    </row>
    <row r="20" spans="1:40" ht="18.75" customHeight="1" x14ac:dyDescent="0.3">
      <c r="A20" s="8">
        <v>17</v>
      </c>
      <c r="B20" s="131">
        <v>26983</v>
      </c>
      <c r="C20" s="113"/>
      <c r="D20" s="8">
        <v>17</v>
      </c>
      <c r="E20" s="173" t="s">
        <v>311</v>
      </c>
      <c r="F20" s="254"/>
      <c r="G20" s="19">
        <v>17</v>
      </c>
      <c r="H20" s="252">
        <v>95358</v>
      </c>
      <c r="I20" s="253"/>
      <c r="J20" s="252">
        <v>17</v>
      </c>
      <c r="K20" s="252">
        <v>114711</v>
      </c>
      <c r="L20" s="11"/>
      <c r="M20" s="253"/>
      <c r="N20" s="253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22">
        <f ca="1">IFERROR(MATCH(A20,OFFSET(Grades!$A$6,MATCH('Standard rates calculator'!$B$6,LIST,0),6,1,SUMIF(Grades!$A:$A,'Standard rates calculator'!$B$6,Grades!$F:$F)),0),"-")</f>
        <v>8</v>
      </c>
    </row>
    <row r="21" spans="1:40" ht="18.75" customHeight="1" x14ac:dyDescent="0.3">
      <c r="A21" s="8">
        <v>18</v>
      </c>
      <c r="B21" s="131">
        <v>27720</v>
      </c>
      <c r="C21" s="113"/>
      <c r="D21" s="8">
        <v>18</v>
      </c>
      <c r="E21" s="174" t="s">
        <v>311</v>
      </c>
      <c r="F21" s="254"/>
      <c r="G21" s="19">
        <v>18</v>
      </c>
      <c r="H21" s="252">
        <v>97242</v>
      </c>
      <c r="I21" s="253"/>
      <c r="J21" s="252">
        <v>18</v>
      </c>
      <c r="K21" s="252">
        <v>118125</v>
      </c>
      <c r="L21" s="11"/>
      <c r="M21" s="253"/>
      <c r="N21" s="253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22">
        <f ca="1">IFERROR(MATCH(A21,OFFSET(Grades!$A$6,MATCH('Standard rates calculator'!$B$6,LIST,0),6,1,SUMIF(Grades!$A:$A,'Standard rates calculator'!$B$6,Grades!$F:$F)),0),"-")</f>
        <v>9</v>
      </c>
    </row>
    <row r="22" spans="1:40" ht="18.75" customHeight="1" x14ac:dyDescent="0.3">
      <c r="A22" s="8">
        <v>19</v>
      </c>
      <c r="B22" s="131">
        <v>28491</v>
      </c>
      <c r="C22" s="113"/>
      <c r="D22" s="8">
        <v>19</v>
      </c>
      <c r="E22" s="173" t="s">
        <v>311</v>
      </c>
      <c r="F22" s="254"/>
      <c r="G22" s="19">
        <v>19</v>
      </c>
      <c r="H22" s="252">
        <v>99167</v>
      </c>
      <c r="I22" s="253"/>
      <c r="J22" s="252">
        <v>19</v>
      </c>
      <c r="K22" s="252">
        <v>121641</v>
      </c>
      <c r="L22" s="11"/>
      <c r="M22" s="253"/>
      <c r="N22" s="253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2">
        <f ca="1">IFERROR(MATCH(A22,OFFSET(Grades!$A$6,MATCH('Standard rates calculator'!$B$6,LIST,0),6,1,SUMIF(Grades!$A:$A,'Standard rates calculator'!$B$6,Grades!$F:$F)),0),"-")</f>
        <v>10</v>
      </c>
    </row>
    <row r="23" spans="1:40" ht="18.75" customHeight="1" x14ac:dyDescent="0.3">
      <c r="A23" s="8">
        <v>20</v>
      </c>
      <c r="B23" s="131">
        <v>29329</v>
      </c>
      <c r="C23" s="113"/>
      <c r="D23" s="8">
        <v>20</v>
      </c>
      <c r="E23" s="174" t="s">
        <v>311</v>
      </c>
      <c r="F23" s="254"/>
      <c r="G23" s="19">
        <v>20</v>
      </c>
      <c r="H23" s="252">
        <v>101128</v>
      </c>
      <c r="I23" s="253"/>
      <c r="J23" s="252">
        <v>20</v>
      </c>
      <c r="K23" s="252">
        <v>125263</v>
      </c>
      <c r="L23" s="11"/>
      <c r="M23" s="253"/>
      <c r="N23" s="253"/>
      <c r="O23" s="1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22">
        <f ca="1">IFERROR(MATCH(A23,OFFSET(Grades!$A$6,MATCH('Standard rates calculator'!$B$6,LIST,0),6,1,SUMIF(Grades!$A:$A,'Standard rates calculator'!$B$6,Grades!$F:$F)),0),"-")</f>
        <v>11</v>
      </c>
    </row>
    <row r="24" spans="1:40" ht="18.75" customHeight="1" x14ac:dyDescent="0.3">
      <c r="A24" s="8">
        <v>21</v>
      </c>
      <c r="B24" s="131">
        <v>30146</v>
      </c>
      <c r="C24" s="113"/>
      <c r="D24" s="8">
        <v>21</v>
      </c>
      <c r="E24" s="173" t="s">
        <v>311</v>
      </c>
      <c r="F24" s="254"/>
      <c r="G24" s="19">
        <v>21</v>
      </c>
      <c r="H24" s="252">
        <v>103128</v>
      </c>
      <c r="I24" s="253"/>
      <c r="J24" s="252">
        <v>21</v>
      </c>
      <c r="K24" s="252"/>
      <c r="L24" s="11"/>
      <c r="M24" s="253"/>
      <c r="N24" s="253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22">
        <f ca="1">IFERROR(MATCH(A24,OFFSET(Grades!$A$6,MATCH('Standard rates calculator'!$B$6,LIST,0),6,1,SUMIF(Grades!$A:$A,'Standard rates calculator'!$B$6,Grades!$F:$F)),0),"-")</f>
        <v>12</v>
      </c>
    </row>
    <row r="25" spans="1:40" ht="18.75" customHeight="1" x14ac:dyDescent="0.3">
      <c r="A25" s="8">
        <v>22</v>
      </c>
      <c r="B25" s="131">
        <v>31033</v>
      </c>
      <c r="C25" s="113"/>
      <c r="D25" s="8">
        <v>22</v>
      </c>
      <c r="E25" s="174" t="s">
        <v>311</v>
      </c>
      <c r="F25" s="254"/>
      <c r="G25" s="19">
        <v>22</v>
      </c>
      <c r="H25" s="252">
        <v>105169</v>
      </c>
      <c r="I25" s="253"/>
      <c r="J25" s="252">
        <v>22</v>
      </c>
      <c r="K25" s="252" t="s">
        <v>293</v>
      </c>
      <c r="L25" s="11"/>
      <c r="M25" s="253"/>
      <c r="N25" s="253"/>
      <c r="O25" s="1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22">
        <f ca="1">IFERROR(MATCH(A25,OFFSET(Grades!$A$6,MATCH('Standard rates calculator'!$B$6,LIST,0),6,1,SUMIF(Grades!$A:$A,'Standard rates calculator'!$B$6,Grades!$F:$F)),0),"-")</f>
        <v>13</v>
      </c>
    </row>
    <row r="26" spans="1:40" ht="18.75" customHeight="1" x14ac:dyDescent="0.3">
      <c r="A26" s="8">
        <v>23</v>
      </c>
      <c r="B26" s="131">
        <v>31958</v>
      </c>
      <c r="C26" s="113"/>
      <c r="D26" s="8">
        <v>23</v>
      </c>
      <c r="E26" s="131">
        <v>31387</v>
      </c>
      <c r="F26" s="112"/>
      <c r="G26" s="19">
        <v>23</v>
      </c>
      <c r="H26" s="252">
        <v>107250</v>
      </c>
      <c r="I26" s="253"/>
      <c r="J26" s="252">
        <v>23</v>
      </c>
      <c r="K26" s="252" t="s">
        <v>293</v>
      </c>
      <c r="L26" s="11"/>
      <c r="M26" s="253"/>
      <c r="N26" s="253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22">
        <f ca="1">IFERROR(MATCH(A26,OFFSET(Grades!$A$6,MATCH('Standard rates calculator'!$B$6,LIST,0),6,1,SUMIF(Grades!$A:$A,'Standard rates calculator'!$B$6,Grades!$F:$F)),0),"-")</f>
        <v>14</v>
      </c>
    </row>
    <row r="27" spans="1:40" ht="18.75" customHeight="1" x14ac:dyDescent="0.3">
      <c r="A27" s="8">
        <v>24</v>
      </c>
      <c r="B27" s="131">
        <v>32911</v>
      </c>
      <c r="C27" s="113"/>
      <c r="D27" s="8">
        <v>24</v>
      </c>
      <c r="E27" s="131">
        <v>32296</v>
      </c>
      <c r="F27" s="112"/>
      <c r="G27" s="19">
        <v>24</v>
      </c>
      <c r="H27" s="252">
        <v>109373</v>
      </c>
      <c r="I27" s="253"/>
      <c r="J27" s="252">
        <v>24</v>
      </c>
      <c r="K27" s="252" t="s">
        <v>293</v>
      </c>
      <c r="L27" s="11"/>
      <c r="M27" s="253"/>
      <c r="N27" s="253"/>
      <c r="O27" s="1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22">
        <f ca="1">IFERROR(MATCH(A27,OFFSET(Grades!$A$6,MATCH('Standard rates calculator'!$B$6,LIST,0),6,1,SUMIF(Grades!$A:$A,'Standard rates calculator'!$B$6,Grades!$F:$F)),0),"-")</f>
        <v>15</v>
      </c>
    </row>
    <row r="28" spans="1:40" ht="18.75" customHeight="1" x14ac:dyDescent="0.3">
      <c r="A28" s="8">
        <v>25</v>
      </c>
      <c r="B28" s="131">
        <v>33892</v>
      </c>
      <c r="C28" s="113"/>
      <c r="D28" s="8">
        <v>25</v>
      </c>
      <c r="E28" s="131">
        <v>33232</v>
      </c>
      <c r="F28" s="112"/>
      <c r="G28" s="19">
        <v>25</v>
      </c>
      <c r="H28" s="252">
        <v>111539</v>
      </c>
      <c r="I28" s="253"/>
      <c r="J28" s="252">
        <v>25</v>
      </c>
      <c r="K28" s="252" t="s">
        <v>293</v>
      </c>
      <c r="L28" s="11"/>
      <c r="M28" s="253"/>
      <c r="N28" s="253"/>
      <c r="O28" s="1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22">
        <f ca="1">IFERROR(MATCH(A28,OFFSET(Grades!$A$6,MATCH('Standard rates calculator'!$B$6,LIST,0),6,1,SUMIF(Grades!$A:$A,'Standard rates calculator'!$B$6,Grades!$F:$F)),0),"-")</f>
        <v>16</v>
      </c>
    </row>
    <row r="29" spans="1:40" ht="18.75" customHeight="1" x14ac:dyDescent="0.3">
      <c r="A29" s="8">
        <v>26</v>
      </c>
      <c r="B29" s="131">
        <v>34901</v>
      </c>
      <c r="C29" s="113"/>
      <c r="D29" s="8">
        <v>26</v>
      </c>
      <c r="E29" s="131">
        <v>33882</v>
      </c>
      <c r="F29" s="112"/>
      <c r="G29" s="19">
        <v>26</v>
      </c>
      <c r="H29" s="252">
        <v>113746</v>
      </c>
      <c r="I29" s="253"/>
      <c r="J29" s="252">
        <v>26</v>
      </c>
      <c r="K29" s="252" t="s">
        <v>293</v>
      </c>
      <c r="L29" s="11"/>
      <c r="M29" s="253"/>
      <c r="N29" s="253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22">
        <f ca="1">IFERROR(MATCH(A29,OFFSET(Grades!$A$6,MATCH('Standard rates calculator'!$B$6,LIST,0),6,1,SUMIF(Grades!$A:$A,'Standard rates calculator'!$B$6,Grades!$F:$F)),0),"-")</f>
        <v>17</v>
      </c>
    </row>
    <row r="30" spans="1:40" ht="18.75" customHeight="1" x14ac:dyDescent="0.3">
      <c r="A30" s="8">
        <v>27</v>
      </c>
      <c r="B30" s="131">
        <v>35943</v>
      </c>
      <c r="C30" s="113"/>
      <c r="D30" s="8">
        <v>27</v>
      </c>
      <c r="E30" s="255">
        <v>34866</v>
      </c>
      <c r="F30" s="254"/>
      <c r="G30" s="3"/>
      <c r="H30" s="3"/>
      <c r="I30" s="3"/>
      <c r="J30" s="252">
        <v>27</v>
      </c>
      <c r="K30" s="252" t="s">
        <v>293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22">
        <f ca="1">IFERROR(MATCH(A30,OFFSET(Grades!$A$6,MATCH('Standard rates calculator'!$B$6,LIST,0),6,1,SUMIF(Grades!$A:$A,'Standard rates calculator'!$B$6,Grades!$F:$F)),0),"-")</f>
        <v>18</v>
      </c>
    </row>
    <row r="31" spans="1:40" ht="18.75" customHeight="1" x14ac:dyDescent="0.3">
      <c r="A31" s="8">
        <v>28</v>
      </c>
      <c r="B31" s="131">
        <v>37016</v>
      </c>
      <c r="C31" s="113"/>
      <c r="D31" s="8">
        <v>28</v>
      </c>
      <c r="E31" s="255">
        <v>35880</v>
      </c>
      <c r="F31" s="254"/>
      <c r="G31" s="3"/>
      <c r="H31" s="3"/>
      <c r="I31" s="3"/>
      <c r="J31" s="252">
        <v>28</v>
      </c>
      <c r="K31" s="252" t="s">
        <v>293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22">
        <f ca="1">IFERROR(MATCH(A31,OFFSET(Grades!$A$6,MATCH('Standard rates calculator'!$B$6,LIST,0),6,1,SUMIF(Grades!$A:$A,'Standard rates calculator'!$B$6,Grades!$F:$F)),0),"-")</f>
        <v>19</v>
      </c>
    </row>
    <row r="32" spans="1:40" ht="18.75" customHeight="1" x14ac:dyDescent="0.3">
      <c r="A32" s="8">
        <v>29</v>
      </c>
      <c r="B32" s="131">
        <v>38121</v>
      </c>
      <c r="C32" s="113"/>
      <c r="D32" s="8">
        <v>29</v>
      </c>
      <c r="E32" s="255">
        <v>36924</v>
      </c>
      <c r="F32" s="254"/>
      <c r="G32" s="3"/>
      <c r="H32" s="3"/>
      <c r="I32" s="3"/>
      <c r="J32" s="252">
        <v>29</v>
      </c>
      <c r="K32" s="252" t="s">
        <v>293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2">
        <f ca="1">IFERROR(MATCH(A32,OFFSET(Grades!$A$6,MATCH('Standard rates calculator'!$B$6,LIST,0),6,1,SUMIF(Grades!$A:$A,'Standard rates calculator'!$B$6,Grades!$F:$F)),0),"-")</f>
        <v>20</v>
      </c>
    </row>
    <row r="33" spans="1:40" ht="18.75" customHeight="1" x14ac:dyDescent="0.3">
      <c r="A33" s="8">
        <v>30</v>
      </c>
      <c r="B33" s="131">
        <v>39260</v>
      </c>
      <c r="C33" s="113"/>
      <c r="D33" s="8">
        <v>30</v>
      </c>
      <c r="E33" s="255">
        <v>37999</v>
      </c>
      <c r="F33" s="254"/>
      <c r="G33" s="3"/>
      <c r="H33" s="3"/>
      <c r="I33" s="3"/>
      <c r="J33" s="252">
        <v>30</v>
      </c>
      <c r="K33" s="252" t="s">
        <v>293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22">
        <f ca="1">IFERROR(MATCH(A33,OFFSET(Grades!$A$6,MATCH('Standard rates calculator'!$B$6,LIST,0),6,1,SUMIF(Grades!$A:$A,'Standard rates calculator'!$B$6,Grades!$F:$F)),0),"-")</f>
        <v>21</v>
      </c>
    </row>
    <row r="34" spans="1:40" ht="18.75" customHeight="1" x14ac:dyDescent="0.3">
      <c r="A34" s="8">
        <v>31</v>
      </c>
      <c r="B34" s="256"/>
      <c r="C34" s="113"/>
      <c r="D34" s="8">
        <v>31</v>
      </c>
      <c r="E34" s="255">
        <v>39105</v>
      </c>
      <c r="F34" s="254"/>
      <c r="G34" s="3"/>
      <c r="H34" s="3"/>
      <c r="I34" s="3"/>
      <c r="J34" s="252">
        <v>31</v>
      </c>
      <c r="K34" s="252" t="s">
        <v>293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22" t="str">
        <f ca="1">IFERROR(MATCH(A34,OFFSET(Grades!$A$6,MATCH('Standard rates calculator'!$B$6,LIST,0),6,1,SUMIF(Grades!$A:$A,'Standard rates calculator'!$B$6,Grades!$F:$F)),0),"-")</f>
        <v>-</v>
      </c>
    </row>
    <row r="35" spans="1:40" ht="18.75" customHeight="1" x14ac:dyDescent="0.3">
      <c r="A35" s="8">
        <v>32</v>
      </c>
      <c r="B35" s="256"/>
      <c r="C35" s="113"/>
      <c r="D35" s="8">
        <v>32</v>
      </c>
      <c r="E35" s="255">
        <v>40247</v>
      </c>
      <c r="F35" s="25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22" t="str">
        <f ca="1">IFERROR(MATCH(A35,OFFSET(Grades!$A$6,MATCH('Standard rates calculator'!$B$6,LIST,0),6,1,SUMIF(Grades!$A:$A,'Standard rates calculator'!$B$6,Grades!$F:$F)),0),"-")</f>
        <v>-</v>
      </c>
    </row>
    <row r="36" spans="1:40" ht="18.75" customHeight="1" x14ac:dyDescent="0.3">
      <c r="A36" s="8">
        <v>33</v>
      </c>
      <c r="B36" s="256"/>
      <c r="C36" s="113"/>
      <c r="D36" s="8">
        <v>33</v>
      </c>
      <c r="E36" s="255">
        <v>41421</v>
      </c>
      <c r="F36" s="25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2" t="str">
        <f ca="1">IFERROR(MATCH(A36,OFFSET(Grades!$A$6,MATCH('Standard rates calculator'!$B$6,LIST,0),6,1,SUMIF(Grades!$A:$A,'Standard rates calculator'!$B$6,Grades!$F:$F)),0),"-")</f>
        <v>-</v>
      </c>
    </row>
    <row r="37" spans="1:40" ht="18.75" customHeight="1" x14ac:dyDescent="0.3">
      <c r="A37" s="8">
        <v>34</v>
      </c>
      <c r="B37" s="256"/>
      <c r="C37" s="113"/>
      <c r="D37" s="8">
        <v>34</v>
      </c>
      <c r="E37" s="255">
        <v>42632</v>
      </c>
      <c r="F37" s="25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22" t="str">
        <f ca="1">IFERROR(MATCH(A37,OFFSET(Grades!$A$6,MATCH('Standard rates calculator'!$B$6,LIST,0),6,1,SUMIF(Grades!$A:$A,'Standard rates calculator'!$B$6,Grades!$F:$F)),0),"-")</f>
        <v>-</v>
      </c>
    </row>
    <row r="38" spans="1:40" ht="18.75" customHeight="1" x14ac:dyDescent="0.3">
      <c r="A38" s="8">
        <v>35</v>
      </c>
      <c r="B38" s="256"/>
      <c r="C38" s="113"/>
      <c r="D38" s="8">
        <v>35</v>
      </c>
      <c r="E38" s="255">
        <v>43878</v>
      </c>
      <c r="F38" s="25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22" t="str">
        <f ca="1">IFERROR(MATCH(A38,OFFSET(Grades!$A$6,MATCH('Standard rates calculator'!$B$6,LIST,0),6,1,SUMIF(Grades!$A:$A,'Standard rates calculator'!$B$6,Grades!$F:$F)),0),"-")</f>
        <v>-</v>
      </c>
    </row>
    <row r="39" spans="1:40" ht="18.75" customHeight="1" x14ac:dyDescent="0.3">
      <c r="A39" s="8">
        <v>36</v>
      </c>
      <c r="B39" s="256"/>
      <c r="C39" s="113"/>
      <c r="D39" s="8">
        <v>36</v>
      </c>
      <c r="E39" s="255">
        <v>45163</v>
      </c>
      <c r="F39" s="25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22" t="str">
        <f ca="1">IFERROR(MATCH(A39,OFFSET(Grades!$A$6,MATCH('Standard rates calculator'!$B$6,LIST,0),6,1,SUMIF(Grades!$A:$A,'Standard rates calculator'!$B$6,Grades!$F:$F)),0),"-")</f>
        <v>-</v>
      </c>
    </row>
    <row r="40" spans="1:40" ht="18.75" customHeight="1" x14ac:dyDescent="0.3">
      <c r="A40" s="8">
        <v>37</v>
      </c>
      <c r="B40" s="256"/>
      <c r="C40" s="113"/>
      <c r="D40" s="8">
        <v>37</v>
      </c>
      <c r="E40" s="255">
        <v>46485</v>
      </c>
      <c r="F40" s="25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22" t="str">
        <f ca="1">IFERROR(MATCH(A40,OFFSET(Grades!$A$6,MATCH('Standard rates calculator'!$B$6,LIST,0),6,1,SUMIF(Grades!$A:$A,'Standard rates calculator'!$B$6,Grades!$F:$F)),0),"-")</f>
        <v>-</v>
      </c>
    </row>
    <row r="41" spans="1:40" ht="18.75" customHeight="1" x14ac:dyDescent="0.3">
      <c r="A41" s="8">
        <v>38</v>
      </c>
      <c r="B41" s="256"/>
      <c r="C41" s="113"/>
      <c r="D41" s="8">
        <v>38</v>
      </c>
      <c r="E41" s="255">
        <v>47874</v>
      </c>
      <c r="F41" s="25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22" t="str">
        <f ca="1">IFERROR(MATCH(A41,OFFSET(Grades!$A$6,MATCH('Standard rates calculator'!$B$6,LIST,0),6,1,SUMIF(Grades!$A:$A,'Standard rates calculator'!$B$6,Grades!$F:$F)),0),"-")</f>
        <v>-</v>
      </c>
    </row>
    <row r="42" spans="1:40" ht="18.75" customHeight="1" x14ac:dyDescent="0.3">
      <c r="A42" s="8">
        <v>39</v>
      </c>
      <c r="B42" s="256"/>
      <c r="C42" s="113"/>
      <c r="D42" s="8">
        <v>39</v>
      </c>
      <c r="E42" s="255">
        <v>49250</v>
      </c>
      <c r="F42" s="25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22" t="str">
        <f ca="1">IFERROR(MATCH(A42,OFFSET(Grades!$A$6,MATCH('Standard rates calculator'!$B$6,LIST,0),6,1,SUMIF(Grades!$A:$A,'Standard rates calculator'!$B$6,Grades!$F:$F)),0),"-")</f>
        <v>-</v>
      </c>
    </row>
    <row r="43" spans="1:40" ht="18.75" customHeight="1" x14ac:dyDescent="0.3">
      <c r="A43" s="8">
        <v>40</v>
      </c>
      <c r="B43" s="256"/>
      <c r="C43" s="113"/>
      <c r="D43" s="8">
        <v>40</v>
      </c>
      <c r="E43" s="255">
        <v>50694</v>
      </c>
      <c r="F43" s="25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22" t="str">
        <f ca="1">IFERROR(MATCH(A43,OFFSET(Grades!$A$6,MATCH('Standard rates calculator'!$B$6,LIST,0),6,1,SUMIF(Grades!$A:$A,'Standard rates calculator'!$B$6,Grades!$F:$F)),0),"-")</f>
        <v>-</v>
      </c>
    </row>
    <row r="44" spans="1:40" ht="18.75" customHeight="1" x14ac:dyDescent="0.3">
      <c r="A44" s="8">
        <v>41</v>
      </c>
      <c r="B44" s="256"/>
      <c r="C44" s="113"/>
      <c r="D44" s="8">
        <v>41</v>
      </c>
      <c r="E44" s="255">
        <v>52183</v>
      </c>
      <c r="F44" s="25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22" t="str">
        <f ca="1">IFERROR(MATCH(A44,OFFSET(Grades!$A$6,MATCH('Standard rates calculator'!$B$6,LIST,0),6,1,SUMIF(Grades!$A:$A,'Standard rates calculator'!$B$6,Grades!$F:$F)),0),"-")</f>
        <v>-</v>
      </c>
    </row>
    <row r="45" spans="1:40" ht="18.75" customHeight="1" x14ac:dyDescent="0.3">
      <c r="A45" s="8">
        <v>42</v>
      </c>
      <c r="B45" s="256"/>
      <c r="C45" s="113"/>
      <c r="D45" s="8">
        <v>42</v>
      </c>
      <c r="E45" s="255">
        <v>53715</v>
      </c>
      <c r="F45" s="25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22" t="str">
        <f ca="1">IFERROR(MATCH(A45,OFFSET(Grades!$A$6,MATCH('Standard rates calculator'!$B$6,LIST,0),6,1,SUMIF(Grades!$A:$A,'Standard rates calculator'!$B$6,Grades!$F:$F)),0),"-")</f>
        <v>-</v>
      </c>
    </row>
    <row r="46" spans="1:40" ht="18.75" customHeight="1" x14ac:dyDescent="0.3">
      <c r="A46" s="8">
        <v>43</v>
      </c>
      <c r="B46" s="256"/>
      <c r="C46" s="113"/>
      <c r="D46" s="8">
        <v>43</v>
      </c>
      <c r="E46" s="255">
        <v>55295</v>
      </c>
      <c r="F46" s="25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22" t="str">
        <f ca="1">IFERROR(MATCH(A46,OFFSET(Grades!$A$6,MATCH('Standard rates calculator'!$B$6,LIST,0),6,1,SUMIF(Grades!$A:$A,'Standard rates calculator'!$B$6,Grades!$F:$F)),0),"-")</f>
        <v>-</v>
      </c>
    </row>
    <row r="47" spans="1:40" ht="18.75" customHeight="1" x14ac:dyDescent="0.3">
      <c r="A47" s="8">
        <v>44</v>
      </c>
      <c r="B47" s="256"/>
      <c r="C47" s="113"/>
      <c r="D47" s="8">
        <v>44</v>
      </c>
      <c r="E47" s="255">
        <v>56921</v>
      </c>
      <c r="F47" s="25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22" t="str">
        <f ca="1">IFERROR(MATCH(A47,OFFSET(Grades!$A$6,MATCH('Standard rates calculator'!$B$6,LIST,0),6,1,SUMIF(Grades!$A:$A,'Standard rates calculator'!$B$6,Grades!$F:$F)),0),"-")</f>
        <v>-</v>
      </c>
    </row>
    <row r="48" spans="1:40" ht="18.75" customHeight="1" x14ac:dyDescent="0.3">
      <c r="A48" s="8">
        <v>45</v>
      </c>
      <c r="B48" s="256"/>
      <c r="C48" s="113"/>
      <c r="D48" s="8">
        <v>45</v>
      </c>
      <c r="E48" s="255">
        <v>58596</v>
      </c>
      <c r="F48" s="25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22" t="str">
        <f ca="1">IFERROR(MATCH(A48,OFFSET(Grades!$A$6,MATCH('Standard rates calculator'!$B$6,LIST,0),6,1,SUMIF(Grades!$A:$A,'Standard rates calculator'!$B$6,Grades!$F:$F)),0),"-")</f>
        <v>-</v>
      </c>
    </row>
    <row r="49" spans="1:40" ht="18.75" customHeight="1" x14ac:dyDescent="0.3">
      <c r="A49" s="8">
        <v>46</v>
      </c>
      <c r="B49" s="256"/>
      <c r="C49" s="113"/>
      <c r="D49" s="8">
        <v>46</v>
      </c>
      <c r="E49" s="255">
        <v>60321</v>
      </c>
      <c r="F49" s="25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22" t="str">
        <f ca="1">IFERROR(MATCH(A49,OFFSET(Grades!$A$6,MATCH('Standard rates calculator'!$B$6,LIST,0),6,1,SUMIF(Grades!$A:$A,'Standard rates calculator'!$B$6,Grades!$F:$F)),0),"-")</f>
        <v>-</v>
      </c>
    </row>
    <row r="50" spans="1:40" ht="18.75" customHeight="1" x14ac:dyDescent="0.3">
      <c r="A50" s="8">
        <v>47</v>
      </c>
      <c r="B50" s="256"/>
      <c r="C50" s="113"/>
      <c r="D50" s="8">
        <v>47</v>
      </c>
      <c r="E50" s="255">
        <v>62098</v>
      </c>
      <c r="F50" s="25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22" t="str">
        <f ca="1">IFERROR(MATCH(A50,OFFSET(Grades!$A$6,MATCH('Standard rates calculator'!$B$6,LIST,0),6,1,SUMIF(Grades!$A:$A,'Standard rates calculator'!$B$6,Grades!$F:$F)),0),"-")</f>
        <v>-</v>
      </c>
    </row>
    <row r="51" spans="1:40" ht="18.75" customHeight="1" x14ac:dyDescent="0.3">
      <c r="A51" s="8">
        <v>48</v>
      </c>
      <c r="B51" s="256"/>
      <c r="C51" s="113"/>
      <c r="D51" s="8">
        <v>48</v>
      </c>
      <c r="E51" s="255">
        <v>63929</v>
      </c>
      <c r="F51" s="25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22" t="str">
        <f ca="1">IFERROR(MATCH(A51,OFFSET(Grades!$A$6,MATCH('Standard rates calculator'!$B$6,LIST,0),6,1,SUMIF(Grades!$A:$A,'Standard rates calculator'!$B$6,Grades!$F:$F)),0),"-")</f>
        <v>-</v>
      </c>
    </row>
    <row r="52" spans="1:40" ht="18.75" customHeight="1" x14ac:dyDescent="0.3">
      <c r="A52" s="8">
        <v>49</v>
      </c>
      <c r="B52" s="256"/>
      <c r="C52" s="113"/>
      <c r="D52" s="8">
        <v>49</v>
      </c>
      <c r="E52" s="255">
        <v>65814</v>
      </c>
      <c r="F52" s="25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22" t="str">
        <f ca="1">IFERROR(MATCH(A52,OFFSET(Grades!$A$6,MATCH('Standard rates calculator'!$B$6,LIST,0),6,1,SUMIF(Grades!$A:$A,'Standard rates calculator'!$B$6,Grades!$F:$F)),0),"-")</f>
        <v>-</v>
      </c>
    </row>
    <row r="53" spans="1:40" ht="18.75" customHeight="1" x14ac:dyDescent="0.3">
      <c r="A53" s="8">
        <v>50</v>
      </c>
      <c r="B53" s="256"/>
      <c r="C53" s="113"/>
      <c r="D53" s="8">
        <v>50</v>
      </c>
      <c r="E53" s="255">
        <v>67757</v>
      </c>
      <c r="F53" s="25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22" t="str">
        <f ca="1">IFERROR(MATCH(A53,OFFSET(Grades!$A$6,MATCH('Standard rates calculator'!$B$6,LIST,0),6,1,SUMIF(Grades!$A:$A,'Standard rates calculator'!$B$6,Grades!$F:$F)),0),"-")</f>
        <v>-</v>
      </c>
    </row>
    <row r="54" spans="1:40" ht="18.75" customHeight="1" x14ac:dyDescent="0.3">
      <c r="A54" s="8">
        <v>51</v>
      </c>
      <c r="B54" s="256"/>
      <c r="C54" s="113"/>
      <c r="D54" s="8">
        <v>51</v>
      </c>
      <c r="E54" s="255">
        <v>69757</v>
      </c>
      <c r="F54" s="25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22" t="str">
        <f ca="1">IFERROR(MATCH(A54,OFFSET(Grades!$A$6,MATCH('Standard rates calculator'!$B$6,LIST,0),6,1,SUMIF(Grades!$A:$A,'Standard rates calculator'!$B$6,Grades!$F:$F)),0),"-")</f>
        <v>-</v>
      </c>
    </row>
    <row r="55" spans="1:40" ht="18.75" customHeight="1" x14ac:dyDescent="0.35">
      <c r="A55" s="9">
        <v>52</v>
      </c>
      <c r="B55" s="257"/>
      <c r="C55" s="113"/>
      <c r="D55" s="9">
        <v>52</v>
      </c>
      <c r="E55" s="258">
        <v>71797</v>
      </c>
      <c r="F55" s="20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22" t="str">
        <f ca="1">IFERROR(MATCH(A55,OFFSET(Grades!$A$6,MATCH('Standard rates calculator'!$B$6,LIST,0),6,1,SUMIF(Grades!$A:$A,'Standard rates calculator'!$B$6,Grades!$F:$F)),0),"-")</f>
        <v>-</v>
      </c>
    </row>
    <row r="56" spans="1:40" ht="18.75" customHeight="1" x14ac:dyDescent="0.35">
      <c r="A56" s="9">
        <v>53</v>
      </c>
      <c r="B56" s="257"/>
      <c r="C56" s="113"/>
      <c r="D56" s="9">
        <v>53</v>
      </c>
      <c r="E56" s="258">
        <v>73918</v>
      </c>
      <c r="F56" s="20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22" t="str">
        <f ca="1">IFERROR(MATCH(A56,OFFSET(Grades!$A$6,MATCH('Standard rates calculator'!$B$6,LIST,0),6,1,SUMIF(Grades!$A:$A,'Standard rates calculator'!$B$6,Grades!$F:$F)),0),"-")</f>
        <v>-</v>
      </c>
    </row>
    <row r="57" spans="1:40" ht="18.75" customHeight="1" x14ac:dyDescent="0.35">
      <c r="A57" s="9">
        <v>54</v>
      </c>
      <c r="B57" s="257"/>
      <c r="C57" s="113"/>
      <c r="D57" s="9">
        <v>54</v>
      </c>
      <c r="E57" s="258">
        <v>76106</v>
      </c>
      <c r="F57" s="20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22" t="str">
        <f ca="1">IFERROR(MATCH(A57,OFFSET(Grades!$A$6,MATCH('Standard rates calculator'!$B$6,LIST,0),6,1,SUMIF(Grades!$A:$A,'Standard rates calculator'!$B$6,Grades!$F:$F)),0),"-")</f>
        <v>-</v>
      </c>
    </row>
    <row r="58" spans="1:40" ht="18.75" customHeight="1" x14ac:dyDescent="0.35">
      <c r="A58" s="9">
        <v>55</v>
      </c>
      <c r="B58" s="257"/>
      <c r="C58" s="113"/>
      <c r="D58" s="9">
        <v>55</v>
      </c>
      <c r="E58" s="258">
        <v>78356</v>
      </c>
      <c r="F58" s="20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22" t="str">
        <f ca="1">IFERROR(MATCH(A58,OFFSET(Grades!$A$6,MATCH('Standard rates calculator'!$B$6,LIST,0),6,1,SUMIF(Grades!$A:$A,'Standard rates calculator'!$B$6,Grades!$F:$F)),0),"-")</f>
        <v>-</v>
      </c>
    </row>
    <row r="59" spans="1:40" ht="18.75" customHeight="1" x14ac:dyDescent="0.35">
      <c r="A59" s="9">
        <v>56</v>
      </c>
      <c r="B59" s="257"/>
      <c r="C59" s="113"/>
      <c r="D59" s="9">
        <v>56</v>
      </c>
      <c r="E59" s="258">
        <v>80674</v>
      </c>
      <c r="F59" s="20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22" t="str">
        <f ca="1">IFERROR(MATCH(A59,OFFSET(Grades!$A$6,MATCH('Standard rates calculator'!$B$6,LIST,0),6,1,SUMIF(Grades!$A:$A,'Standard rates calculator'!$B$6,Grades!$F:$F)),0),"-")</f>
        <v>-</v>
      </c>
    </row>
    <row r="60" spans="1:40" ht="18.75" customHeight="1" x14ac:dyDescent="0.35">
      <c r="A60" s="9">
        <v>57</v>
      </c>
      <c r="B60" s="257"/>
      <c r="C60" s="113"/>
      <c r="D60" s="9">
        <v>57</v>
      </c>
      <c r="E60" s="258">
        <v>83061</v>
      </c>
      <c r="F60" s="20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22" t="str">
        <f ca="1">IFERROR(MATCH(A60,OFFSET(Grades!$A$6,MATCH('Standard rates calculator'!$B$6,LIST,0),6,1,SUMIF(Grades!$A:$A,'Standard rates calculator'!$B$6,Grades!$F:$F)),0),"-")</f>
        <v>-</v>
      </c>
    </row>
    <row r="61" spans="1:40" ht="18.75" customHeight="1" x14ac:dyDescent="0.35">
      <c r="A61" s="11"/>
      <c r="B61" s="3"/>
      <c r="D61" s="3"/>
      <c r="E61" s="3"/>
      <c r="F61" s="259"/>
      <c r="AN61" s="22" t="str">
        <f ca="1">IFERROR(MATCH(A61,OFFSET(Grades!$A$6,MATCH('Standard rates calculator'!$B$6,LIST,0),6,1,SUMIF(Grades!$A:$A,'Standard rates calculator'!$B$6,Grades!$F:$F)),0),"-")</f>
        <v>-</v>
      </c>
    </row>
    <row r="62" spans="1:40" ht="18.75" customHeight="1" x14ac:dyDescent="0.35">
      <c r="A62" s="11"/>
      <c r="B62" s="3"/>
      <c r="C62" s="114"/>
      <c r="D62" s="3"/>
      <c r="E62" s="3"/>
      <c r="F62" s="5"/>
      <c r="AN62" s="22" t="str">
        <f ca="1">IFERROR(MATCH(A62,OFFSET(Grades!$A$6,MATCH('Standard rates calculator'!$B$6,LIST,0),6,1,SUMIF(Grades!$A:$A,'Standard rates calculator'!$B$6,Grades!$F:$F)),0),"-")</f>
        <v>-</v>
      </c>
    </row>
    <row r="63" spans="1:40" ht="18.75" customHeight="1" x14ac:dyDescent="0.35">
      <c r="A63" s="11"/>
      <c r="B63" s="3"/>
      <c r="D63" s="3"/>
      <c r="E63" s="3"/>
      <c r="F63" s="5"/>
      <c r="AN63" s="22" t="str">
        <f ca="1">IFERROR(MATCH(A63,OFFSET(Grades!$A$6,MATCH('Standard rates calculator'!$B$6,LIST,0),6,1,SUMIF(Grades!$A:$A,'Standard rates calculator'!$B$6,Grades!$F:$F)),0),"-")</f>
        <v>-</v>
      </c>
    </row>
    <row r="64" spans="1:40" ht="18.75" customHeight="1" x14ac:dyDescent="0.35">
      <c r="A64" s="11"/>
      <c r="B64" s="3"/>
      <c r="C64" s="115"/>
      <c r="D64" s="3"/>
      <c r="E64" s="3"/>
      <c r="F64" s="5"/>
      <c r="AN64" s="22" t="str">
        <f ca="1">IFERROR(MATCH(A64,OFFSET(Grades!$A$6,MATCH('Standard rates calculator'!$B$6,LIST,0),6,1,SUMIF(Grades!$A:$A,'Standard rates calculator'!$B$6,Grades!$F:$F)),0),"-")</f>
        <v>-</v>
      </c>
    </row>
    <row r="65" spans="1:40" ht="18.75" customHeight="1" x14ac:dyDescent="0.35">
      <c r="A65" s="11"/>
      <c r="B65" s="3"/>
      <c r="C65" s="115"/>
      <c r="D65" s="3"/>
      <c r="E65" s="3"/>
      <c r="F65" s="5"/>
      <c r="AN65" s="22" t="str">
        <f ca="1">IFERROR(MATCH(A65,OFFSET(Grades!$A$6,MATCH('Standard rates calculator'!$B$6,LIST,0),6,1,SUMIF(Grades!$A:$A,'Standard rates calculator'!$B$6,Grades!$F:$F)),0),"-")</f>
        <v>-</v>
      </c>
    </row>
    <row r="66" spans="1:40" ht="18.75" customHeight="1" x14ac:dyDescent="0.35">
      <c r="A66" s="11"/>
      <c r="B66" s="3"/>
      <c r="D66" s="3"/>
      <c r="E66" s="3"/>
      <c r="F66" s="5"/>
      <c r="AN66" s="22" t="str">
        <f ca="1">IFERROR(MATCH(A66,OFFSET(Grades!$A$6,MATCH('Standard rates calculator'!$B$6,LIST,0),6,1,SUMIF(Grades!$A:$A,'Standard rates calculator'!$B$6,Grades!$F:$F)),0),"-")</f>
        <v>-</v>
      </c>
    </row>
    <row r="67" spans="1:40" ht="18.75" customHeight="1" x14ac:dyDescent="0.35">
      <c r="A67" s="11"/>
      <c r="B67" s="3"/>
      <c r="D67" s="3"/>
      <c r="E67" s="3"/>
      <c r="F67" s="5"/>
      <c r="AN67" s="22" t="str">
        <f ca="1">IFERROR(MATCH(A67,OFFSET(Grades!$A$6,MATCH('Standard rates calculator'!$B$6,LIST,0),6,1,SUMIF(Grades!$A:$A,'Standard rates calculator'!$B$6,Grades!$F:$F)),0),"-")</f>
        <v>-</v>
      </c>
    </row>
    <row r="68" spans="1:40" ht="18.75" customHeight="1" x14ac:dyDescent="0.35">
      <c r="A68" s="11"/>
      <c r="B68" s="3"/>
      <c r="D68" s="3"/>
      <c r="E68" s="3"/>
      <c r="F68" s="5"/>
      <c r="AN68" s="22" t="str">
        <f ca="1">IFERROR(MATCH(A68,OFFSET(Grades!$A$6,MATCH('Standard rates calculator'!$B$6,LIST,0),6,1,SUMIF(Grades!$A:$A,'Standard rates calculator'!$B$6,Grades!$F:$F)),0),"-")</f>
        <v>-</v>
      </c>
    </row>
    <row r="69" spans="1:40" ht="18.75" customHeight="1" x14ac:dyDescent="0.35">
      <c r="A69" s="11"/>
      <c r="B69" s="3"/>
      <c r="D69" s="3"/>
      <c r="E69" s="3"/>
      <c r="F69" s="5"/>
      <c r="AN69" s="22" t="str">
        <f ca="1">IFERROR(MATCH(A69,OFFSET(Grades!$A$6,MATCH('Standard rates calculator'!$B$6,LIST,0),6,1,SUMIF(Grades!$A:$A,'Standard rates calculator'!$B$6,Grades!$F:$F)),0),"-")</f>
        <v>-</v>
      </c>
    </row>
    <row r="70" spans="1:40" ht="18.75" customHeight="1" x14ac:dyDescent="0.35">
      <c r="A70" s="11"/>
      <c r="B70" s="3"/>
      <c r="D70" s="3"/>
      <c r="E70" s="3"/>
      <c r="F70" s="5"/>
      <c r="AN70" s="22" t="str">
        <f ca="1">IFERROR(MATCH(A70,OFFSET(Grades!$A$6,MATCH('Standard rates calculator'!$B$6,LIST,0),6,1,SUMIF(Grades!$A:$A,'Standard rates calculator'!$B$6,Grades!$F:$F)),0),"-")</f>
        <v>-</v>
      </c>
    </row>
    <row r="71" spans="1:40" ht="18.75" customHeight="1" x14ac:dyDescent="0.35">
      <c r="A71" s="11"/>
      <c r="B71" s="3"/>
      <c r="D71" s="3"/>
      <c r="E71" s="3"/>
      <c r="F71" s="5"/>
      <c r="AN71" s="22" t="str">
        <f ca="1">IFERROR(MATCH(A71,OFFSET(Grades!$A$6,MATCH('Standard rates calculator'!$B$6,LIST,0),6,1,SUMIF(Grades!$A:$A,'Standard rates calculator'!$B$6,Grades!$F:$F)),0),"-")</f>
        <v>-</v>
      </c>
    </row>
    <row r="72" spans="1:40" ht="18.75" customHeight="1" x14ac:dyDescent="0.35">
      <c r="A72" s="11"/>
      <c r="B72" s="3"/>
      <c r="D72" s="3"/>
      <c r="E72" s="3"/>
      <c r="F72" s="5"/>
      <c r="AN72" s="22" t="str">
        <f ca="1">IFERROR(MATCH(A72,OFFSET(Grades!$A$6,MATCH('Standard rates calculator'!$B$6,LIST,0),6,1,SUMIF(Grades!$A:$A,'Standard rates calculator'!$B$6,Grades!$F:$F)),0),"-")</f>
        <v>-</v>
      </c>
    </row>
    <row r="73" spans="1:40" ht="18.75" customHeight="1" x14ac:dyDescent="0.35">
      <c r="A73" s="11"/>
      <c r="B73" s="3"/>
      <c r="D73" s="3"/>
      <c r="E73" s="3"/>
      <c r="F73" s="5"/>
      <c r="AN73" s="22" t="str">
        <f ca="1">IFERROR(MATCH(A73,OFFSET(Grades!$A$6,MATCH('Standard rates calculator'!$B$6,LIST,0),6,1,SUMIF(Grades!$A:$A,'Standard rates calculator'!$B$6,Grades!$F:$F)),0),"-")</f>
        <v>-</v>
      </c>
    </row>
    <row r="74" spans="1:40" ht="18.75" customHeight="1" x14ac:dyDescent="0.35">
      <c r="A74" s="11"/>
      <c r="B74" s="3"/>
      <c r="D74" s="3"/>
      <c r="E74" s="3"/>
      <c r="F74" s="5"/>
      <c r="AN74" s="22" t="str">
        <f ca="1">IFERROR(MATCH(A74,OFFSET(Grades!$A$6,MATCH('Standard rates calculator'!$B$6,LIST,0),6,1,SUMIF(Grades!$A:$A,'Standard rates calculator'!$B$6,Grades!$F:$F)),0),"-")</f>
        <v>-</v>
      </c>
    </row>
    <row r="75" spans="1:40" ht="18.75" customHeight="1" x14ac:dyDescent="0.35">
      <c r="A75" s="11"/>
      <c r="B75" s="3"/>
      <c r="D75" s="3"/>
      <c r="E75" s="3"/>
      <c r="F75" s="5"/>
      <c r="AN75" s="22" t="str">
        <f ca="1">IFERROR(MATCH(A75,OFFSET(Grades!$A$6,MATCH('Standard rates calculator'!$B$6,LIST,0),6,1,SUMIF(Grades!$A:$A,'Standard rates calculator'!$B$6,Grades!$F:$F)),0),"-")</f>
        <v>-</v>
      </c>
    </row>
    <row r="76" spans="1:40" ht="18.75" customHeight="1" x14ac:dyDescent="0.35">
      <c r="A76" s="11"/>
      <c r="B76" s="3"/>
      <c r="D76" s="3"/>
      <c r="E76" s="3"/>
      <c r="F76" s="5"/>
      <c r="AN76" s="22" t="str">
        <f ca="1">IFERROR(MATCH(A76,OFFSET(Grades!$A$6,MATCH('Standard rates calculator'!$B$6,LIST,0),6,1,SUMIF(Grades!$A:$A,'Standard rates calculator'!$B$6,Grades!$F:$F)),0),"-")</f>
        <v>-</v>
      </c>
    </row>
    <row r="77" spans="1:40" ht="18.75" customHeight="1" x14ac:dyDescent="0.35">
      <c r="A77" s="11"/>
      <c r="B77" s="3"/>
      <c r="D77" s="3"/>
      <c r="E77" s="3"/>
      <c r="F77" s="5"/>
      <c r="AN77" s="22" t="str">
        <f ca="1">IFERROR(MATCH(A77,OFFSET(Grades!$A$6,MATCH('Standard rates calculator'!$B$6,LIST,0),6,1,SUMIF(Grades!$A:$A,'Standard rates calculator'!$B$6,Grades!$F:$F)),0),"-")</f>
        <v>-</v>
      </c>
    </row>
    <row r="78" spans="1:40" ht="18.75" customHeight="1" x14ac:dyDescent="0.35">
      <c r="A78" s="11"/>
      <c r="B78" s="3"/>
      <c r="D78" s="3"/>
      <c r="E78" s="3"/>
      <c r="F78" s="5"/>
      <c r="AN78" s="22" t="str">
        <f ca="1">IFERROR(MATCH(A78,OFFSET(Grades!$A$6,MATCH('Standard rates calculator'!$B$6,LIST,0),6,1,SUMIF(Grades!$A:$A,'Standard rates calculator'!$B$6,Grades!$F:$F)),0),"-")</f>
        <v>-</v>
      </c>
    </row>
    <row r="79" spans="1:40" ht="18.75" customHeight="1" x14ac:dyDescent="0.35">
      <c r="A79" s="11"/>
      <c r="B79" s="3"/>
      <c r="D79" s="3"/>
      <c r="E79" s="3"/>
      <c r="F79" s="5"/>
      <c r="AN79" s="22" t="str">
        <f ca="1">IFERROR(MATCH(A79,OFFSET(Grades!$A$6,MATCH('Standard rates calculator'!$B$6,LIST,0),6,1,SUMIF(Grades!$A:$A,'Standard rates calculator'!$B$6,Grades!$F:$F)),0),"-")</f>
        <v>-</v>
      </c>
    </row>
    <row r="80" spans="1:40" ht="18.75" customHeight="1" x14ac:dyDescent="0.35">
      <c r="A80" s="11"/>
      <c r="B80" s="3"/>
      <c r="D80" s="3"/>
      <c r="E80" s="3"/>
      <c r="F80" s="5"/>
      <c r="AN80" s="22" t="str">
        <f ca="1">IFERROR(MATCH(A80,OFFSET(Grades!$A$6,MATCH('Standard rates calculator'!$B$6,LIST,0),6,1,SUMIF(Grades!$A:$A,'Standard rates calculator'!$B$6,Grades!$F:$F)),0),"-")</f>
        <v>-</v>
      </c>
    </row>
    <row r="81" spans="1:40" ht="18.75" customHeight="1" x14ac:dyDescent="0.35">
      <c r="A81" s="11"/>
      <c r="B81" s="3"/>
      <c r="D81" s="3"/>
      <c r="E81" s="3"/>
      <c r="F81" s="5"/>
      <c r="AN81" s="22" t="str">
        <f ca="1">IFERROR(MATCH(A81,OFFSET(Grades!$A$6,MATCH('Standard rates calculator'!$B$6,LIST,0),6,1,SUMIF(Grades!$A:$A,'Standard rates calculator'!$B$6,Grades!$F:$F)),0),"-")</f>
        <v>-</v>
      </c>
    </row>
    <row r="82" spans="1:40" ht="18.75" customHeight="1" x14ac:dyDescent="0.35">
      <c r="A82" s="11"/>
      <c r="B82" s="3"/>
      <c r="D82" s="3"/>
      <c r="E82" s="3"/>
      <c r="F82" s="5"/>
      <c r="AN82" s="22" t="str">
        <f ca="1">IFERROR(MATCH(A82,OFFSET(Grades!$A$6,MATCH('Standard rates calculator'!$B$6,LIST,0),6,1,SUMIF(Grades!$A:$A,'Standard rates calculator'!$B$6,Grades!$F:$F)),0),"-")</f>
        <v>-</v>
      </c>
    </row>
    <row r="83" spans="1:40" ht="18.75" customHeight="1" x14ac:dyDescent="0.35">
      <c r="A83" s="11"/>
      <c r="B83" s="3"/>
      <c r="D83" s="3"/>
      <c r="E83" s="3"/>
      <c r="F83" s="5"/>
      <c r="AN83" s="22" t="str">
        <f ca="1">IFERROR(MATCH(A83,OFFSET(Grades!$A$6,MATCH('Standard rates calculator'!$B$6,LIST,0),6,1,SUMIF(Grades!$A:$A,'Standard rates calculator'!$B$6,Grades!$F:$F)),0),"-")</f>
        <v>-</v>
      </c>
    </row>
    <row r="84" spans="1:40" ht="18.75" customHeight="1" x14ac:dyDescent="0.35">
      <c r="A84" s="11"/>
      <c r="B84" s="3"/>
      <c r="D84" s="3"/>
      <c r="E84" s="3"/>
      <c r="F84" s="5"/>
      <c r="AN84" s="22" t="str">
        <f ca="1">IFERROR(MATCH(A84,OFFSET(Grades!$A$6,MATCH('Standard rates calculator'!$B$6,LIST,0),6,1,SUMIF(Grades!$A:$A,'Standard rates calculator'!$B$6,Grades!$F:$F)),0),"-")</f>
        <v>-</v>
      </c>
    </row>
    <row r="85" spans="1:40" ht="18.75" customHeight="1" x14ac:dyDescent="0.35">
      <c r="A85" s="11"/>
      <c r="B85" s="3"/>
      <c r="D85" s="3"/>
      <c r="E85" s="3"/>
      <c r="F85" s="5"/>
      <c r="AN85" s="22" t="str">
        <f ca="1">IFERROR(MATCH(A85,OFFSET(Grades!$A$6,MATCH('Standard rates calculator'!$B$6,LIST,0),6,1,SUMIF(Grades!$A:$A,'Standard rates calculator'!$B$6,Grades!$F:$F)),0),"-")</f>
        <v>-</v>
      </c>
    </row>
    <row r="86" spans="1:40" ht="18.75" customHeight="1" x14ac:dyDescent="0.35">
      <c r="A86" s="11"/>
      <c r="B86" s="3"/>
      <c r="D86" s="3"/>
      <c r="E86" s="3"/>
      <c r="F86" s="5"/>
      <c r="AN86" s="22" t="str">
        <f ca="1">IFERROR(MATCH(A86,OFFSET(Grades!$A$6,MATCH('Standard rates calculator'!$B$6,LIST,0),6,1,SUMIF(Grades!$A:$A,'Standard rates calculator'!$B$6,Grades!$F:$F)),0),"-")</f>
        <v>-</v>
      </c>
    </row>
    <row r="87" spans="1:40" ht="18.75" customHeight="1" x14ac:dyDescent="0.35">
      <c r="A87" s="11"/>
      <c r="B87" s="3"/>
      <c r="D87" s="3"/>
      <c r="E87" s="3"/>
      <c r="F87" s="5"/>
      <c r="AN87" s="22" t="str">
        <f ca="1">IFERROR(MATCH(A87,OFFSET(Grades!$A$6,MATCH('Standard rates calculator'!$B$6,LIST,0),6,1,SUMIF(Grades!$A:$A,'Standard rates calculator'!$B$6,Grades!$F:$F)),0),"-")</f>
        <v>-</v>
      </c>
    </row>
    <row r="88" spans="1:40" ht="18.75" customHeight="1" x14ac:dyDescent="0.35">
      <c r="A88" s="11"/>
      <c r="B88" s="3"/>
      <c r="D88" s="3"/>
      <c r="E88" s="3"/>
      <c r="F88" s="5"/>
      <c r="AN88" s="22" t="str">
        <f ca="1">IFERROR(MATCH(A88,OFFSET(Grades!$A$6,MATCH('Standard rates calculator'!$B$6,LIST,0),6,1,SUMIF(Grades!$A:$A,'Standard rates calculator'!$B$6,Grades!$F:$F)),0),"-")</f>
        <v>-</v>
      </c>
    </row>
    <row r="89" spans="1:40" ht="18.75" customHeight="1" x14ac:dyDescent="0.35">
      <c r="A89" s="11"/>
      <c r="B89" s="3"/>
      <c r="D89" s="3"/>
      <c r="E89" s="3"/>
      <c r="F89" s="5"/>
      <c r="AN89" s="22" t="str">
        <f ca="1">IFERROR(MATCH(A89,OFFSET(Grades!$A$6,MATCH('Standard rates calculator'!$B$6,LIST,0),6,1,SUMIF(Grades!$A:$A,'Standard rates calculator'!$B$6,Grades!$F:$F)),0),"-")</f>
        <v>-</v>
      </c>
    </row>
    <row r="90" spans="1:40" ht="18.75" customHeight="1" x14ac:dyDescent="0.35">
      <c r="A90" s="11"/>
      <c r="B90" s="3"/>
      <c r="D90" s="3"/>
      <c r="E90" s="3"/>
      <c r="F90" s="5"/>
      <c r="AN90" s="22" t="str">
        <f ca="1">IFERROR(MATCH(A90,OFFSET(Grades!$A$6,MATCH('Standard rates calculator'!$B$6,LIST,0),6,1,SUMIF(Grades!$A:$A,'Standard rates calculator'!$B$6,Grades!$F:$F)),0),"-")</f>
        <v>-</v>
      </c>
    </row>
    <row r="91" spans="1:40" ht="18.75" customHeight="1" x14ac:dyDescent="0.35">
      <c r="A91" s="11"/>
      <c r="B91" s="3"/>
      <c r="D91" s="3"/>
      <c r="E91" s="3"/>
      <c r="F91" s="5"/>
      <c r="AN91" s="22" t="str">
        <f ca="1">IFERROR(MATCH(A91,OFFSET(Grades!$A$6,MATCH('Standard rates calculator'!$B$6,LIST,0),6,1,SUMIF(Grades!$A:$A,'Standard rates calculator'!$B$6,Grades!$F:$F)),0),"-")</f>
        <v>-</v>
      </c>
    </row>
    <row r="92" spans="1:40" ht="18.75" customHeight="1" x14ac:dyDescent="0.35">
      <c r="A92" s="11"/>
      <c r="B92" s="3"/>
      <c r="D92" s="3"/>
      <c r="E92" s="3"/>
      <c r="F92" s="5"/>
      <c r="AN92" s="22" t="str">
        <f ca="1">IFERROR(MATCH(A92,OFFSET(Grades!$A$6,MATCH('Standard rates calculator'!$B$6,LIST,0),6,1,SUMIF(Grades!$A:$A,'Standard rates calculator'!$B$6,Grades!$F:$F)),0),"-")</f>
        <v>-</v>
      </c>
    </row>
    <row r="93" spans="1:40" ht="18.75" customHeight="1" x14ac:dyDescent="0.35">
      <c r="A93" s="11"/>
      <c r="B93" s="3"/>
      <c r="D93" s="3"/>
      <c r="E93" s="3"/>
      <c r="F93" s="5"/>
      <c r="AN93" s="22" t="str">
        <f ca="1">IFERROR(MATCH(A93,OFFSET(Grades!$A$6,MATCH('Standard rates calculator'!$B$6,LIST,0),6,1,SUMIF(Grades!$A:$A,'Standard rates calculator'!$B$6,Grades!$F:$F)),0),"-")</f>
        <v>-</v>
      </c>
    </row>
    <row r="94" spans="1:40" ht="18.75" customHeight="1" x14ac:dyDescent="0.35">
      <c r="A94" s="11"/>
      <c r="B94" s="3"/>
      <c r="D94" s="3"/>
      <c r="E94" s="3"/>
      <c r="F94" s="5"/>
      <c r="AN94" s="22" t="str">
        <f ca="1">IFERROR(MATCH(A94,OFFSET(Grades!$A$6,MATCH('Standard rates calculator'!$B$6,LIST,0),6,1,SUMIF(Grades!$A:$A,'Standard rates calculator'!$B$6,Grades!$F:$F)),0),"-")</f>
        <v>-</v>
      </c>
    </row>
    <row r="95" spans="1:40" ht="18.75" customHeight="1" x14ac:dyDescent="0.35">
      <c r="A95" s="11"/>
      <c r="B95" s="3"/>
      <c r="D95" s="3"/>
      <c r="E95" s="3"/>
      <c r="F95" s="5"/>
      <c r="AN95" s="22" t="str">
        <f ca="1">IFERROR(MATCH(A95,OFFSET(Grades!$A$6,MATCH('Standard rates calculator'!$B$6,LIST,0),6,1,SUMIF(Grades!$A:$A,'Standard rates calculator'!$B$6,Grades!$F:$F)),0),"-")</f>
        <v>-</v>
      </c>
    </row>
    <row r="96" spans="1:40" ht="18.75" customHeight="1" x14ac:dyDescent="0.35">
      <c r="A96" s="11"/>
      <c r="B96" s="3"/>
      <c r="D96" s="3"/>
      <c r="E96" s="3"/>
      <c r="F96" s="5"/>
      <c r="AN96" s="22" t="str">
        <f ca="1">IFERROR(MATCH(A96,OFFSET(Grades!$A$6,MATCH('Standard rates calculator'!$B$6,LIST,0),6,1,SUMIF(Grades!$A:$A,'Standard rates calculator'!$B$6,Grades!$F:$F)),0),"-")</f>
        <v>-</v>
      </c>
    </row>
    <row r="97" spans="1:40" ht="18.75" customHeight="1" x14ac:dyDescent="0.35">
      <c r="A97" s="11"/>
      <c r="B97" s="3"/>
      <c r="D97" s="3"/>
      <c r="E97" s="3"/>
      <c r="F97" s="5"/>
      <c r="AN97" s="22" t="str">
        <f ca="1">IFERROR(MATCH(A97,OFFSET(Grades!$A$6,MATCH('Standard rates calculator'!$B$6,LIST,0),6,1,SUMIF(Grades!$A:$A,'Standard rates calculator'!$B$6,Grades!$F:$F)),0),"-")</f>
        <v>-</v>
      </c>
    </row>
    <row r="98" spans="1:40" ht="18.75" customHeight="1" x14ac:dyDescent="0.35">
      <c r="A98" s="11"/>
      <c r="B98" s="3"/>
      <c r="D98" s="3"/>
      <c r="E98" s="3"/>
      <c r="F98" s="5"/>
      <c r="AN98" s="22" t="str">
        <f ca="1">IFERROR(MATCH(A98,OFFSET(Grades!$A$6,MATCH('Standard rates calculator'!$B$6,LIST,0),6,1,SUMIF(Grades!$A:$A,'Standard rates calculator'!$B$6,Grades!$F:$F)),0),"-")</f>
        <v>-</v>
      </c>
    </row>
    <row r="99" spans="1:40" ht="18.75" customHeight="1" x14ac:dyDescent="0.35">
      <c r="A99" s="11"/>
      <c r="B99" s="3"/>
      <c r="D99" s="3"/>
      <c r="E99" s="3"/>
      <c r="F99" s="5"/>
      <c r="AN99" s="22" t="str">
        <f ca="1">IFERROR(MATCH(A99,OFFSET(Grades!$A$6,MATCH('Standard rates calculator'!$B$6,LIST,0),6,1,SUMIF(Grades!$A:$A,'Standard rates calculator'!$B$6,Grades!$F:$F)),0),"-")</f>
        <v>-</v>
      </c>
    </row>
    <row r="100" spans="1:40" ht="18.75" customHeight="1" x14ac:dyDescent="0.35">
      <c r="A100" s="11"/>
      <c r="B100" s="3"/>
      <c r="D100" s="3"/>
      <c r="E100" s="3"/>
      <c r="F100" s="5"/>
      <c r="AN100" s="22" t="str">
        <f ca="1">IFERROR(MATCH(A100,OFFSET(Grades!$A$6,MATCH('Standard rates calculator'!$B$6,LIST,0),6,1,SUMIF(Grades!$A:$A,'Standard rates calculator'!$B$6,Grades!$F:$F)),0),"-")</f>
        <v>-</v>
      </c>
    </row>
    <row r="101" spans="1:40" ht="18.75" customHeight="1" x14ac:dyDescent="0.35">
      <c r="A101" s="11"/>
      <c r="B101" s="3"/>
      <c r="D101" s="3"/>
      <c r="E101" s="3"/>
      <c r="F101" s="5"/>
      <c r="AN101" s="22" t="str">
        <f ca="1">IFERROR(MATCH(A101,OFFSET(Grades!$A$6,MATCH('Standard rates calculator'!$B$6,LIST,0),6,1,SUMIF(Grades!$A:$A,'Standard rates calculator'!$B$6,Grades!$F:$F)),0),"-")</f>
        <v>-</v>
      </c>
    </row>
    <row r="102" spans="1:40" ht="18.75" customHeight="1" x14ac:dyDescent="0.35">
      <c r="A102" s="11"/>
      <c r="B102" s="3"/>
      <c r="D102" s="3"/>
      <c r="E102" s="3"/>
      <c r="F102" s="5"/>
      <c r="AN102" s="22" t="str">
        <f ca="1">IFERROR(MATCH(A102,OFFSET(Grades!$A$6,MATCH('Standard rates calculator'!$B$6,LIST,0),6,1,SUMIF(Grades!$A:$A,'Standard rates calculator'!$B$6,Grades!$F:$F)),0),"-")</f>
        <v>-</v>
      </c>
    </row>
    <row r="103" spans="1:40" ht="18.75" customHeight="1" x14ac:dyDescent="0.35">
      <c r="A103" s="11"/>
      <c r="B103" s="3"/>
      <c r="D103" s="3"/>
      <c r="E103" s="3"/>
      <c r="F103" s="5"/>
      <c r="AN103" s="22" t="str">
        <f ca="1">IFERROR(MATCH(A103,OFFSET(Grades!$A$6,MATCH('Standard rates calculator'!$B$6,LIST,0),6,1,SUMIF(Grades!$A:$A,'Standard rates calculator'!$B$6,Grades!$F:$F)),0),"-")</f>
        <v>-</v>
      </c>
    </row>
    <row r="104" spans="1:40" ht="18.75" customHeight="1" x14ac:dyDescent="0.35">
      <c r="A104" s="11"/>
      <c r="B104" s="3"/>
      <c r="D104" s="3"/>
      <c r="E104" s="3"/>
      <c r="F104" s="5"/>
      <c r="AN104" s="22" t="str">
        <f ca="1">IFERROR(MATCH(A104,OFFSET(Grades!$A$6,MATCH('Standard rates calculator'!$B$6,LIST,0),6,1,SUMIF(Grades!$A:$A,'Standard rates calculator'!$B$6,Grades!$F:$F)),0),"-")</f>
        <v>-</v>
      </c>
    </row>
    <row r="105" spans="1:40" ht="18.75" customHeight="1" x14ac:dyDescent="0.35">
      <c r="A105" s="11"/>
      <c r="B105" s="3"/>
      <c r="D105" s="3"/>
      <c r="E105" s="3"/>
      <c r="F105" s="5"/>
      <c r="AN105" s="22" t="str">
        <f ca="1">IFERROR(MATCH(A105,OFFSET(Grades!$A$6,MATCH('Standard rates calculator'!$B$6,LIST,0),6,1,SUMIF(Grades!$A:$A,'Standard rates calculator'!$B$6,Grades!$F:$F)),0),"-")</f>
        <v>-</v>
      </c>
    </row>
    <row r="106" spans="1:40" ht="18.75" customHeight="1" x14ac:dyDescent="0.35">
      <c r="A106" s="11"/>
      <c r="B106" s="3"/>
      <c r="D106" s="3"/>
      <c r="E106" s="3"/>
      <c r="F106" s="5"/>
      <c r="AN106" s="22" t="str">
        <f ca="1">IFERROR(MATCH(A106,OFFSET(Grades!$A$6,MATCH('Standard rates calculator'!$B$6,LIST,0),6,1,SUMIF(Grades!$A:$A,'Standard rates calculator'!$B$6,Grades!$F:$F)),0),"-")</f>
        <v>-</v>
      </c>
    </row>
    <row r="107" spans="1:40" ht="18.75" customHeight="1" x14ac:dyDescent="0.35">
      <c r="A107" s="11"/>
      <c r="B107" s="3"/>
      <c r="D107" s="3"/>
      <c r="E107" s="3"/>
      <c r="F107" s="5"/>
      <c r="AN107" s="22" t="str">
        <f ca="1">IFERROR(MATCH(A107,OFFSET(Grades!$A$6,MATCH('Standard rates calculator'!$B$6,LIST,0),6,1,SUMIF(Grades!$A:$A,'Standard rates calculator'!$B$6,Grades!$F:$F)),0),"-")</f>
        <v>-</v>
      </c>
    </row>
    <row r="108" spans="1:40" ht="18.75" customHeight="1" x14ac:dyDescent="0.35">
      <c r="A108" s="11"/>
      <c r="B108" s="3"/>
      <c r="D108" s="3"/>
      <c r="E108" s="3"/>
      <c r="F108" s="5"/>
      <c r="AN108" s="22" t="str">
        <f ca="1">IFERROR(MATCH(A108,OFFSET(Grades!$A$6,MATCH('Standard rates calculator'!$B$6,LIST,0),6,1,SUMIF(Grades!$A:$A,'Standard rates calculator'!$B$6,Grades!$F:$F)),0),"-")</f>
        <v>-</v>
      </c>
    </row>
    <row r="109" spans="1:40" ht="18.75" customHeight="1" x14ac:dyDescent="0.35">
      <c r="A109" s="11"/>
      <c r="B109" s="3"/>
      <c r="D109" s="3"/>
      <c r="E109" s="3"/>
      <c r="F109" s="5"/>
      <c r="AN109" s="22" t="str">
        <f ca="1">IFERROR(MATCH(A109,OFFSET(Grades!$A$6,MATCH('Standard rates calculator'!$B$6,LIST,0),6,1,SUMIF(Grades!$A:$A,'Standard rates calculator'!$B$6,Grades!$F:$F)),0),"-")</f>
        <v>-</v>
      </c>
    </row>
    <row r="110" spans="1:40" ht="18.75" customHeight="1" x14ac:dyDescent="0.35">
      <c r="A110" s="11"/>
      <c r="B110" s="3"/>
      <c r="D110" s="3"/>
      <c r="E110" s="3"/>
      <c r="F110" s="5"/>
      <c r="AN110" s="22" t="str">
        <f ca="1">IFERROR(MATCH(A110,OFFSET(Grades!$A$6,MATCH('Standard rates calculator'!$B$6,LIST,0),6,1,SUMIF(Grades!$A:$A,'Standard rates calculator'!$B$6,Grades!$F:$F)),0),"-")</f>
        <v>-</v>
      </c>
    </row>
    <row r="111" spans="1:40" ht="18.75" customHeight="1" x14ac:dyDescent="0.35">
      <c r="A111" s="11"/>
      <c r="B111" s="3"/>
      <c r="D111" s="3"/>
      <c r="E111" s="3"/>
      <c r="F111" s="5"/>
      <c r="AN111" s="22" t="str">
        <f ca="1">IFERROR(MATCH(A111,OFFSET(Grades!$A$6,MATCH('Standard rates calculator'!$B$6,LIST,0),6,1,SUMIF(Grades!$A:$A,'Standard rates calculator'!$B$6,Grades!$F:$F)),0),"-")</f>
        <v>-</v>
      </c>
    </row>
    <row r="112" spans="1:40" ht="18.75" customHeight="1" x14ac:dyDescent="0.35">
      <c r="A112" s="11"/>
      <c r="B112" s="3"/>
      <c r="D112" s="3"/>
      <c r="E112" s="3"/>
      <c r="F112" s="5"/>
      <c r="AN112" s="22" t="str">
        <f ca="1">IFERROR(MATCH(A112,OFFSET(Grades!$A$6,MATCH('Standard rates calculator'!$B$6,LIST,0),6,1,SUMIF(Grades!$A:$A,'Standard rates calculator'!$B$6,Grades!$F:$F)),0),"-")</f>
        <v>-</v>
      </c>
    </row>
    <row r="113" spans="1:40" ht="18.75" customHeight="1" x14ac:dyDescent="0.35">
      <c r="A113" s="11"/>
      <c r="B113" s="3"/>
      <c r="D113" s="3"/>
      <c r="E113" s="3"/>
      <c r="F113" s="5"/>
      <c r="AN113" s="22" t="str">
        <f ca="1">IFERROR(MATCH(A113,OFFSET(Grades!$A$6,MATCH('Standard rates calculator'!$B$6,LIST,0),6,1,SUMIF(Grades!$A:$A,'Standard rates calculator'!$B$6,Grades!$F:$F)),0),"-")</f>
        <v>-</v>
      </c>
    </row>
    <row r="114" spans="1:40" ht="18.75" customHeight="1" x14ac:dyDescent="0.35">
      <c r="A114" s="11"/>
      <c r="B114" s="3"/>
      <c r="D114" s="3"/>
      <c r="E114" s="3"/>
      <c r="F114" s="5"/>
      <c r="AN114" s="22" t="str">
        <f ca="1">IFERROR(MATCH(A114,OFFSET(Grades!$A$6,MATCH('Standard rates calculator'!$B$6,LIST,0),6,1,SUMIF(Grades!$A:$A,'Standard rates calculator'!$B$6,Grades!$F:$F)),0),"-")</f>
        <v>-</v>
      </c>
    </row>
    <row r="115" spans="1:40" ht="18.75" customHeight="1" x14ac:dyDescent="0.35">
      <c r="A115" s="11"/>
      <c r="B115" s="3"/>
      <c r="D115" s="3"/>
      <c r="E115" s="3"/>
      <c r="F115" s="5"/>
      <c r="AN115" s="22" t="str">
        <f ca="1">IFERROR(MATCH(A115,OFFSET(Grades!$A$6,MATCH('Standard rates calculator'!$B$6,LIST,0),6,1,SUMIF(Grades!$A:$A,'Standard rates calculator'!$B$6,Grades!$F:$F)),0),"-")</f>
        <v>-</v>
      </c>
    </row>
    <row r="116" spans="1:40" ht="18.75" customHeight="1" x14ac:dyDescent="0.35">
      <c r="A116" s="11"/>
      <c r="B116" s="3"/>
      <c r="D116" s="3"/>
      <c r="E116" s="3"/>
      <c r="F116" s="5"/>
      <c r="AN116" s="22" t="str">
        <f ca="1">IFERROR(MATCH(A116,OFFSET(Grades!$A$6,MATCH('Standard rates calculator'!$B$6,LIST,0),6,1,SUMIF(Grades!$A:$A,'Standard rates calculator'!$B$6,Grades!$F:$F)),0),"-")</f>
        <v>-</v>
      </c>
    </row>
    <row r="117" spans="1:40" ht="18.75" customHeight="1" x14ac:dyDescent="0.35">
      <c r="A117" s="11"/>
      <c r="B117" s="3"/>
      <c r="D117" s="3"/>
      <c r="E117" s="3"/>
      <c r="F117" s="5"/>
      <c r="AN117" s="22" t="str">
        <f ca="1">IFERROR(MATCH(A117,OFFSET(Grades!$A$6,MATCH('Standard rates calculator'!$B$6,LIST,0),6,1,SUMIF(Grades!$A:$A,'Standard rates calculator'!$B$6,Grades!$F:$F)),0),"-")</f>
        <v>-</v>
      </c>
    </row>
    <row r="118" spans="1:40" ht="18.75" customHeight="1" x14ac:dyDescent="0.35">
      <c r="A118" s="11"/>
      <c r="B118" s="3"/>
      <c r="D118" s="3"/>
      <c r="E118" s="3"/>
      <c r="F118" s="5"/>
      <c r="AN118" s="22" t="str">
        <f ca="1">IFERROR(MATCH(A118,OFFSET(Grades!$A$6,MATCH('Standard rates calculator'!$B$6,LIST,0),6,1,SUMIF(Grades!$A:$A,'Standard rates calculator'!$B$6,Grades!$F:$F)),0),"-")</f>
        <v>-</v>
      </c>
    </row>
    <row r="119" spans="1:40" ht="18.75" customHeight="1" x14ac:dyDescent="0.35">
      <c r="A119" s="11"/>
      <c r="B119" s="3"/>
      <c r="D119" s="3"/>
      <c r="E119" s="3"/>
      <c r="F119" s="5"/>
      <c r="AN119" s="22" t="str">
        <f ca="1">IFERROR(MATCH(A119,OFFSET(Grades!$A$6,MATCH('Standard rates calculator'!$B$6,LIST,0),6,1,SUMIF(Grades!$A:$A,'Standard rates calculator'!$B$6,Grades!$F:$F)),0),"-")</f>
        <v>-</v>
      </c>
    </row>
    <row r="120" spans="1:40" ht="18.75" customHeight="1" x14ac:dyDescent="0.35">
      <c r="A120" s="11"/>
      <c r="B120" s="3"/>
      <c r="D120" s="3"/>
      <c r="E120" s="3"/>
      <c r="F120" s="5"/>
      <c r="AN120" s="22" t="str">
        <f ca="1">IFERROR(MATCH(A120,OFFSET(Grades!$A$6,MATCH('Standard rates calculator'!$B$6,LIST,0),6,1,SUMIF(Grades!$A:$A,'Standard rates calculator'!$B$6,Grades!$F:$F)),0),"-")</f>
        <v>-</v>
      </c>
    </row>
    <row r="121" spans="1:40" ht="18.75" customHeight="1" x14ac:dyDescent="0.35">
      <c r="A121" s="11"/>
      <c r="B121" s="3"/>
      <c r="D121" s="3"/>
      <c r="E121" s="3"/>
      <c r="F121" s="5"/>
      <c r="AN121" s="22" t="str">
        <f ca="1">IFERROR(MATCH(A121,OFFSET(Grades!$A$6,MATCH('Standard rates calculator'!$B$6,LIST,0),6,1,SUMIF(Grades!$A:$A,'Standard rates calculator'!$B$6,Grades!$F:$F)),0),"-")</f>
        <v>-</v>
      </c>
    </row>
    <row r="122" spans="1:40" ht="18.75" customHeight="1" x14ac:dyDescent="0.35">
      <c r="A122" s="11"/>
      <c r="B122" s="3"/>
      <c r="D122" s="3"/>
      <c r="E122" s="3"/>
      <c r="F122" s="5"/>
      <c r="AN122" s="22" t="str">
        <f ca="1">IFERROR(MATCH(A122,OFFSET(Grades!$A$6,MATCH('Standard rates calculator'!$B$6,LIST,0),6,1,SUMIF(Grades!$A:$A,'Standard rates calculator'!$B$6,Grades!$F:$F)),0),"-")</f>
        <v>-</v>
      </c>
    </row>
    <row r="123" spans="1:40" ht="18.75" customHeight="1" x14ac:dyDescent="0.35">
      <c r="A123" s="11"/>
      <c r="B123" s="3"/>
      <c r="D123" s="3"/>
      <c r="E123" s="3"/>
      <c r="F123" s="5"/>
      <c r="AN123" s="22" t="str">
        <f ca="1">IFERROR(MATCH(A123,OFFSET(Grades!$A$6,MATCH('Standard rates calculator'!$B$6,LIST,0),6,1,SUMIF(Grades!$A:$A,'Standard rates calculator'!$B$6,Grades!$F:$F)),0),"-")</f>
        <v>-</v>
      </c>
    </row>
    <row r="124" spans="1:40" ht="18.75" customHeight="1" x14ac:dyDescent="0.35">
      <c r="A124" s="11"/>
      <c r="B124" s="3"/>
      <c r="D124" s="3"/>
      <c r="E124" s="3"/>
      <c r="F124" s="5"/>
      <c r="AN124" s="22" t="str">
        <f ca="1">IFERROR(MATCH(A124,OFFSET(Grades!$A$6,MATCH('Standard rates calculator'!$B$6,LIST,0),6,1,SUMIF(Grades!$A:$A,'Standard rates calculator'!$B$6,Grades!$F:$F)),0),"-")</f>
        <v>-</v>
      </c>
    </row>
    <row r="125" spans="1:40" ht="18.75" customHeight="1" x14ac:dyDescent="0.35">
      <c r="A125" s="11"/>
      <c r="B125" s="3"/>
      <c r="D125" s="3"/>
      <c r="E125" s="3"/>
      <c r="F125" s="5"/>
      <c r="AN125" s="22" t="str">
        <f ca="1">IFERROR(MATCH(A125,OFFSET(Grades!$A$6,MATCH('Standard rates calculator'!$B$6,LIST,0),6,1,SUMIF(Grades!$A:$A,'Standard rates calculator'!$B$6,Grades!$F:$F)),0),"-")</f>
        <v>-</v>
      </c>
    </row>
    <row r="126" spans="1:40" ht="18.75" customHeight="1" x14ac:dyDescent="0.35">
      <c r="A126" s="11"/>
      <c r="B126" s="3"/>
      <c r="D126" s="3"/>
      <c r="E126" s="3"/>
      <c r="F126" s="5"/>
      <c r="AN126" s="22" t="str">
        <f ca="1">IFERROR(MATCH(A126,OFFSET(Grades!$A$6,MATCH('Standard rates calculator'!$B$6,LIST,0),6,1,SUMIF(Grades!$A:$A,'Standard rates calculator'!$B$6,Grades!$F:$F)),0),"-")</f>
        <v>-</v>
      </c>
    </row>
    <row r="127" spans="1:40" ht="18.75" customHeight="1" x14ac:dyDescent="0.35">
      <c r="A127" s="11"/>
      <c r="B127" s="3"/>
      <c r="D127" s="3"/>
      <c r="E127" s="3"/>
      <c r="F127" s="5"/>
      <c r="AN127" s="22" t="str">
        <f ca="1">IFERROR(MATCH(A127,OFFSET(Grades!$A$6,MATCH('Standard rates calculator'!$B$6,LIST,0),6,1,SUMIF(Grades!$A:$A,'Standard rates calculator'!$B$6,Grades!$F:$F)),0),"-")</f>
        <v>-</v>
      </c>
    </row>
    <row r="128" spans="1:40" ht="18.75" customHeight="1" x14ac:dyDescent="0.35">
      <c r="A128" s="11"/>
      <c r="B128" s="3"/>
      <c r="D128" s="3"/>
      <c r="E128" s="3"/>
      <c r="F128" s="5"/>
      <c r="AN128" s="22" t="str">
        <f ca="1">IFERROR(MATCH(A128,OFFSET(Grades!$A$6,MATCH('Standard rates calculator'!$B$6,LIST,0),6,1,SUMIF(Grades!$A:$A,'Standard rates calculator'!$B$6,Grades!$F:$F)),0),"-")</f>
        <v>-</v>
      </c>
    </row>
    <row r="129" spans="1:40" ht="18.75" customHeight="1" x14ac:dyDescent="0.35">
      <c r="A129" s="11"/>
      <c r="B129" s="3"/>
      <c r="D129" s="3"/>
      <c r="E129" s="3"/>
      <c r="F129" s="5"/>
      <c r="AN129" s="22" t="str">
        <f ca="1">IFERROR(MATCH(A129,OFFSET(Grades!$A$6,MATCH('Standard rates calculator'!$B$6,LIST,0),6,1,SUMIF(Grades!$A:$A,'Standard rates calculator'!$B$6,Grades!$F:$F)),0),"-")</f>
        <v>-</v>
      </c>
    </row>
    <row r="130" spans="1:40" ht="18.75" customHeight="1" x14ac:dyDescent="0.35">
      <c r="A130" s="11"/>
      <c r="B130" s="3"/>
      <c r="D130" s="3"/>
      <c r="E130" s="3"/>
      <c r="F130" s="5"/>
      <c r="AN130" s="22" t="str">
        <f ca="1">IFERROR(MATCH(A130,OFFSET(Grades!$A$6,MATCH('Standard rates calculator'!$B$6,LIST,0),6,1,SUMIF(Grades!$A:$A,'Standard rates calculator'!$B$6,Grades!$F:$F)),0),"-")</f>
        <v>-</v>
      </c>
    </row>
    <row r="131" spans="1:40" ht="18.75" customHeight="1" x14ac:dyDescent="0.35">
      <c r="A131" s="11"/>
      <c r="B131" s="3"/>
      <c r="D131" s="3"/>
      <c r="E131" s="3"/>
      <c r="F131" s="5"/>
      <c r="AN131" s="22" t="str">
        <f ca="1">IFERROR(MATCH(A131,OFFSET(Grades!$A$6,MATCH('Standard rates calculator'!$B$6,LIST,0),6,1,SUMIF(Grades!$A:$A,'Standard rates calculator'!$B$6,Grades!$F:$F)),0),"-")</f>
        <v>-</v>
      </c>
    </row>
    <row r="132" spans="1:40" ht="18.75" customHeight="1" x14ac:dyDescent="0.35">
      <c r="A132" s="11"/>
      <c r="B132" s="3"/>
      <c r="D132" s="3"/>
      <c r="E132" s="3"/>
      <c r="F132" s="5"/>
      <c r="AN132" s="22" t="str">
        <f ca="1">IFERROR(MATCH(A132,OFFSET(Grades!$A$6,MATCH('Standard rates calculator'!$B$6,LIST,0),6,1,SUMIF(Grades!$A:$A,'Standard rates calculator'!$B$6,Grades!$F:$F)),0),"-")</f>
        <v>-</v>
      </c>
    </row>
    <row r="133" spans="1:40" ht="18.75" customHeight="1" x14ac:dyDescent="0.35">
      <c r="A133" s="11"/>
      <c r="B133" s="3"/>
      <c r="D133" s="3"/>
      <c r="E133" s="3"/>
      <c r="F133" s="5"/>
      <c r="AN133" s="22" t="str">
        <f ca="1">IFERROR(MATCH(A133,OFFSET(Grades!$A$6,MATCH('Standard rates calculator'!$B$6,LIST,0),6,1,SUMIF(Grades!$A:$A,'Standard rates calculator'!$B$6,Grades!$F:$F)),0),"-")</f>
        <v>-</v>
      </c>
    </row>
    <row r="134" spans="1:40" ht="18.75" customHeight="1" x14ac:dyDescent="0.35">
      <c r="A134" s="11"/>
      <c r="B134" s="3"/>
      <c r="D134" s="3"/>
      <c r="E134" s="3"/>
      <c r="F134" s="5"/>
      <c r="AN134" s="22" t="str">
        <f ca="1">IFERROR(MATCH(A134,OFFSET(Grades!$A$6,MATCH('Standard rates calculator'!$B$6,LIST,0),6,1,SUMIF(Grades!$A:$A,'Standard rates calculator'!$B$6,Grades!$F:$F)),0),"-")</f>
        <v>-</v>
      </c>
    </row>
    <row r="135" spans="1:40" ht="18.75" customHeight="1" x14ac:dyDescent="0.35">
      <c r="A135" s="11"/>
      <c r="B135" s="3"/>
      <c r="D135" s="3"/>
      <c r="E135" s="3"/>
      <c r="F135" s="5"/>
      <c r="AN135" s="22" t="str">
        <f ca="1">IFERROR(MATCH(A135,OFFSET(Grades!$A$6,MATCH('Standard rates calculator'!$B$6,LIST,0),6,1,SUMIF(Grades!$A:$A,'Standard rates calculator'!$B$6,Grades!$F:$F)),0),"-")</f>
        <v>-</v>
      </c>
    </row>
    <row r="136" spans="1:40" ht="18.75" customHeight="1" x14ac:dyDescent="0.35">
      <c r="A136" s="11"/>
      <c r="B136" s="3"/>
      <c r="D136" s="3"/>
      <c r="E136" s="3"/>
      <c r="F136" s="5"/>
      <c r="AN136" s="22" t="str">
        <f ca="1">IFERROR(MATCH(A136,OFFSET(Grades!$A$6,MATCH('Standard rates calculator'!$B$6,LIST,0),6,1,SUMIF(Grades!$A:$A,'Standard rates calculator'!$B$6,Grades!$F:$F)),0),"-")</f>
        <v>-</v>
      </c>
    </row>
    <row r="137" spans="1:40" ht="18.75" customHeight="1" x14ac:dyDescent="0.35">
      <c r="A137" s="11"/>
      <c r="B137" s="3"/>
      <c r="D137" s="3"/>
      <c r="E137" s="3"/>
      <c r="F137" s="5"/>
      <c r="AN137" s="22" t="str">
        <f ca="1">IFERROR(MATCH(A137,OFFSET(Grades!$A$6,MATCH('Standard rates calculator'!$B$6,LIST,0),6,1,SUMIF(Grades!$A:$A,'Standard rates calculator'!$B$6,Grades!$F:$F)),0),"-")</f>
        <v>-</v>
      </c>
    </row>
    <row r="138" spans="1:40" ht="18.75" customHeight="1" x14ac:dyDescent="0.35">
      <c r="A138" s="11"/>
      <c r="B138" s="3"/>
      <c r="D138" s="3"/>
      <c r="E138" s="3"/>
      <c r="F138" s="5"/>
      <c r="AN138" s="22" t="str">
        <f ca="1">IFERROR(MATCH(A138,OFFSET(Grades!$A$6,MATCH('Standard rates calculator'!$B$6,LIST,0),6,1,SUMIF(Grades!$A:$A,'Standard rates calculator'!$B$6,Grades!$F:$F)),0),"-")</f>
        <v>-</v>
      </c>
    </row>
    <row r="139" spans="1:40" ht="18.75" customHeight="1" x14ac:dyDescent="0.35">
      <c r="A139" s="11"/>
      <c r="B139" s="3"/>
      <c r="D139" s="3"/>
      <c r="E139" s="3"/>
      <c r="F139" s="5"/>
      <c r="AN139" s="22" t="str">
        <f ca="1">IFERROR(MATCH(A139,OFFSET(Grades!$A$6,MATCH('Standard rates calculator'!$B$6,LIST,0),6,1,SUMIF(Grades!$A:$A,'Standard rates calculator'!$B$6,Grades!$F:$F)),0),"-")</f>
        <v>-</v>
      </c>
    </row>
    <row r="140" spans="1:40" ht="18.75" customHeight="1" x14ac:dyDescent="0.35">
      <c r="A140" s="11"/>
      <c r="B140" s="3"/>
      <c r="D140" s="3"/>
      <c r="E140" s="3"/>
      <c r="F140" s="5"/>
      <c r="AN140" s="22" t="str">
        <f ca="1">IFERROR(MATCH(A140,OFFSET(Grades!$A$6,MATCH('Standard rates calculator'!$B$6,LIST,0),6,1,SUMIF(Grades!$A:$A,'Standard rates calculator'!$B$6,Grades!$F:$F)),0),"-")</f>
        <v>-</v>
      </c>
    </row>
    <row r="141" spans="1:40" ht="18.75" customHeight="1" x14ac:dyDescent="0.35">
      <c r="A141" s="11"/>
      <c r="B141" s="3"/>
      <c r="D141" s="3"/>
      <c r="E141" s="3"/>
      <c r="F141" s="5"/>
      <c r="AN141" s="22" t="str">
        <f ca="1">IFERROR(MATCH(A141,OFFSET(Grades!$A$6,MATCH('Standard rates calculator'!$B$6,LIST,0),6,1,SUMIF(Grades!$A:$A,'Standard rates calculator'!$B$6,Grades!$F:$F)),0),"-")</f>
        <v>-</v>
      </c>
    </row>
    <row r="142" spans="1:40" ht="18.75" customHeight="1" x14ac:dyDescent="0.35">
      <c r="A142" s="11"/>
      <c r="B142" s="3"/>
      <c r="D142" s="3"/>
      <c r="E142" s="3"/>
      <c r="F142" s="5"/>
      <c r="AN142" s="22" t="str">
        <f ca="1">IFERROR(MATCH(A142,OFFSET(Grades!$A$6,MATCH('Standard rates calculator'!$B$6,LIST,0),6,1,SUMIF(Grades!$A:$A,'Standard rates calculator'!$B$6,Grades!$F:$F)),0),"-")</f>
        <v>-</v>
      </c>
    </row>
    <row r="143" spans="1:40" ht="18.75" customHeight="1" x14ac:dyDescent="0.35">
      <c r="A143" s="11"/>
      <c r="B143" s="3"/>
      <c r="D143" s="3"/>
      <c r="E143" s="3"/>
      <c r="F143" s="5"/>
      <c r="AN143" s="22" t="str">
        <f ca="1">IFERROR(MATCH(A143,OFFSET(Grades!$A$6,MATCH('Standard rates calculator'!$B$6,LIST,0),6,1,SUMIF(Grades!$A:$A,'Standard rates calculator'!$B$6,Grades!$F:$F)),0),"-")</f>
        <v>-</v>
      </c>
    </row>
    <row r="144" spans="1:40" ht="18.75" customHeight="1" x14ac:dyDescent="0.35">
      <c r="A144" s="11"/>
      <c r="B144" s="3"/>
      <c r="D144" s="3"/>
      <c r="E144" s="3"/>
      <c r="F144" s="5"/>
      <c r="AN144" s="22" t="str">
        <f ca="1">IFERROR(MATCH(A144,OFFSET(Grades!$A$6,MATCH('Standard rates calculator'!$B$6,LIST,0),6,1,SUMIF(Grades!$A:$A,'Standard rates calculator'!$B$6,Grades!$F:$F)),0),"-")</f>
        <v>-</v>
      </c>
    </row>
    <row r="145" spans="1:40" ht="18.75" customHeight="1" x14ac:dyDescent="0.35">
      <c r="A145" s="11"/>
      <c r="B145" s="3"/>
      <c r="D145" s="3"/>
      <c r="E145" s="3"/>
      <c r="F145" s="5"/>
      <c r="AN145" s="22" t="str">
        <f ca="1">IFERROR(MATCH(A145,OFFSET(Grades!$A$6,MATCH('Standard rates calculator'!$B$6,LIST,0),6,1,SUMIF(Grades!$A:$A,'Standard rates calculator'!$B$6,Grades!$F:$F)),0),"-")</f>
        <v>-</v>
      </c>
    </row>
    <row r="146" spans="1:40" ht="18.75" customHeight="1" x14ac:dyDescent="0.35">
      <c r="A146" s="11"/>
      <c r="B146" s="3"/>
      <c r="D146" s="3"/>
      <c r="E146" s="3"/>
      <c r="F146" s="5"/>
      <c r="AN146" s="22" t="str">
        <f ca="1">IFERROR(MATCH(A146,OFFSET(Grades!$A$6,MATCH('Standard rates calculator'!$B$6,LIST,0),6,1,SUMIF(Grades!$A:$A,'Standard rates calculator'!$B$6,Grades!$F:$F)),0),"-")</f>
        <v>-</v>
      </c>
    </row>
    <row r="147" spans="1:40" ht="18.75" customHeight="1" x14ac:dyDescent="0.35">
      <c r="A147" s="11"/>
      <c r="B147" s="3"/>
      <c r="D147" s="3"/>
      <c r="E147" s="3"/>
      <c r="F147" s="5"/>
      <c r="AN147" s="22" t="str">
        <f ca="1">IFERROR(MATCH(A147,OFFSET(Grades!$A$6,MATCH('Standard rates calculator'!$B$6,LIST,0),6,1,SUMIF(Grades!$A:$A,'Standard rates calculator'!$B$6,Grades!$F:$F)),0),"-")</f>
        <v>-</v>
      </c>
    </row>
    <row r="148" spans="1:40" ht="18.75" customHeight="1" x14ac:dyDescent="0.35">
      <c r="A148" s="11"/>
      <c r="B148" s="3"/>
      <c r="D148" s="3"/>
      <c r="E148" s="3"/>
      <c r="F148" s="5"/>
      <c r="AN148" s="22" t="str">
        <f ca="1">IFERROR(MATCH(A148,OFFSET(Grades!$A$6,MATCH('Standard rates calculator'!$B$6,LIST,0),6,1,SUMIF(Grades!$A:$A,'Standard rates calculator'!$B$6,Grades!$F:$F)),0),"-")</f>
        <v>-</v>
      </c>
    </row>
    <row r="149" spans="1:40" ht="18.75" customHeight="1" x14ac:dyDescent="0.35">
      <c r="A149" s="11"/>
      <c r="B149" s="3"/>
      <c r="D149" s="3"/>
      <c r="E149" s="3"/>
      <c r="F149" s="5"/>
      <c r="AN149" s="22" t="str">
        <f ca="1">IFERROR(MATCH(A149,OFFSET(Grades!$A$6,MATCH('Standard rates calculator'!$B$6,LIST,0),6,1,SUMIF(Grades!$A:$A,'Standard rates calculator'!$B$6,Grades!$F:$F)),0),"-")</f>
        <v>-</v>
      </c>
    </row>
    <row r="150" spans="1:40" ht="18.75" customHeight="1" x14ac:dyDescent="0.35">
      <c r="A150" s="11"/>
      <c r="B150" s="3"/>
      <c r="D150" s="3"/>
      <c r="E150" s="3"/>
      <c r="F150" s="5"/>
      <c r="AN150" s="22" t="str">
        <f ca="1">IFERROR(MATCH(A150,OFFSET(Grades!$A$6,MATCH('Standard rates calculator'!$B$6,LIST,0),6,1,SUMIF(Grades!$A:$A,'Standard rates calculator'!$B$6,Grades!$F:$F)),0),"-")</f>
        <v>-</v>
      </c>
    </row>
    <row r="151" spans="1:40" ht="18.75" customHeight="1" x14ac:dyDescent="0.35">
      <c r="A151" s="11"/>
      <c r="B151" s="3"/>
      <c r="D151" s="3"/>
      <c r="E151" s="3"/>
      <c r="F151" s="5"/>
      <c r="AN151" s="22" t="str">
        <f ca="1">IFERROR(MATCH(A151,OFFSET(Grades!$A$6,MATCH('Standard rates calculator'!$B$6,LIST,0),6,1,SUMIF(Grades!$A:$A,'Standard rates calculator'!$B$6,Grades!$F:$F)),0),"-")</f>
        <v>-</v>
      </c>
    </row>
    <row r="152" spans="1:40" ht="18.75" customHeight="1" x14ac:dyDescent="0.35">
      <c r="A152" s="11"/>
      <c r="B152" s="3"/>
      <c r="D152" s="3"/>
      <c r="E152" s="3"/>
      <c r="F152" s="5"/>
      <c r="AN152" s="22" t="str">
        <f ca="1">IFERROR(MATCH(A152,OFFSET(Grades!$A$6,MATCH('Standard rates calculator'!$B$6,LIST,0),6,1,SUMIF(Grades!$A:$A,'Standard rates calculator'!$B$6,Grades!$F:$F)),0),"-")</f>
        <v>-</v>
      </c>
    </row>
    <row r="153" spans="1:40" ht="18.75" customHeight="1" x14ac:dyDescent="0.35">
      <c r="A153" s="11"/>
      <c r="B153" s="3"/>
      <c r="D153" s="3"/>
      <c r="E153" s="3"/>
      <c r="F153" s="5"/>
      <c r="AN153" s="22" t="str">
        <f ca="1">IFERROR(MATCH(A153,OFFSET(Grades!$A$6,MATCH('Standard rates calculator'!$B$6,LIST,0),6,1,SUMIF(Grades!$A:$A,'Standard rates calculator'!$B$6,Grades!$F:$F)),0),"-")</f>
        <v>-</v>
      </c>
    </row>
    <row r="154" spans="1:40" ht="18.75" customHeight="1" x14ac:dyDescent="0.35">
      <c r="A154" s="11"/>
      <c r="B154" s="3"/>
      <c r="D154" s="3"/>
      <c r="E154" s="3"/>
      <c r="F154" s="5"/>
      <c r="AN154" s="22" t="str">
        <f ca="1">IFERROR(MATCH(A154,OFFSET(Grades!$A$6,MATCH('Standard rates calculator'!$B$6,LIST,0),6,1,SUMIF(Grades!$A:$A,'Standard rates calculator'!$B$6,Grades!$F:$F)),0),"-")</f>
        <v>-</v>
      </c>
    </row>
    <row r="155" spans="1:40" ht="18.75" customHeight="1" x14ac:dyDescent="0.35">
      <c r="A155" s="11"/>
      <c r="B155" s="3"/>
      <c r="D155" s="3"/>
      <c r="E155" s="3"/>
      <c r="F155" s="5"/>
      <c r="AN155" s="22" t="str">
        <f ca="1">IFERROR(MATCH(A155,OFFSET(Grades!$A$6,MATCH('Standard rates calculator'!$B$6,LIST,0),6,1,SUMIF(Grades!$A:$A,'Standard rates calculator'!$B$6,Grades!$F:$F)),0),"-")</f>
        <v>-</v>
      </c>
    </row>
    <row r="156" spans="1:40" ht="18.75" customHeight="1" x14ac:dyDescent="0.35">
      <c r="A156" s="11"/>
      <c r="B156" s="3"/>
      <c r="D156" s="3"/>
      <c r="E156" s="3"/>
      <c r="F156" s="5"/>
      <c r="AN156" s="22" t="str">
        <f ca="1">IFERROR(MATCH(A156,OFFSET(Grades!$A$6,MATCH('Standard rates calculator'!$B$6,LIST,0),6,1,SUMIF(Grades!$A:$A,'Standard rates calculator'!$B$6,Grades!$F:$F)),0),"-")</f>
        <v>-</v>
      </c>
    </row>
    <row r="157" spans="1:40" ht="18.75" customHeight="1" x14ac:dyDescent="0.35">
      <c r="A157" s="11"/>
      <c r="B157" s="3"/>
      <c r="D157" s="3"/>
      <c r="E157" s="3"/>
      <c r="F157" s="5"/>
      <c r="AN157" s="22" t="str">
        <f ca="1">IFERROR(MATCH(A157,OFFSET(Grades!$A$6,MATCH('Standard rates calculator'!$B$6,LIST,0),6,1,SUMIF(Grades!$A:$A,'Standard rates calculator'!$B$6,Grades!$F:$F)),0),"-")</f>
        <v>-</v>
      </c>
    </row>
    <row r="158" spans="1:40" ht="18.75" customHeight="1" x14ac:dyDescent="0.35">
      <c r="A158" s="11"/>
      <c r="B158" s="3"/>
      <c r="D158" s="3"/>
      <c r="E158" s="3"/>
      <c r="F158" s="5"/>
      <c r="AN158" s="22" t="str">
        <f ca="1">IFERROR(MATCH(A158,OFFSET(Grades!$A$6,MATCH('Standard rates calculator'!$B$6,LIST,0),6,1,SUMIF(Grades!$A:$A,'Standard rates calculator'!$B$6,Grades!$F:$F)),0),"-")</f>
        <v>-</v>
      </c>
    </row>
    <row r="159" spans="1:40" ht="18.75" customHeight="1" x14ac:dyDescent="0.35">
      <c r="A159" s="11"/>
      <c r="B159" s="3"/>
      <c r="D159" s="3"/>
      <c r="E159" s="3"/>
      <c r="F159" s="5"/>
      <c r="AN159" s="22" t="str">
        <f ca="1">IFERROR(MATCH(A159,OFFSET(Grades!$A$6,MATCH('Standard rates calculator'!$B$6,LIST,0),6,1,SUMIF(Grades!$A:$A,'Standard rates calculator'!$B$6,Grades!$F:$F)),0),"-")</f>
        <v>-</v>
      </c>
    </row>
    <row r="160" spans="1:40" ht="18.75" customHeight="1" x14ac:dyDescent="0.35">
      <c r="A160" s="11"/>
      <c r="B160" s="3"/>
      <c r="D160" s="3"/>
      <c r="E160" s="3"/>
      <c r="F160" s="5"/>
      <c r="AN160" s="22" t="str">
        <f ca="1">IFERROR(MATCH(A160,OFFSET(Grades!$A$6,MATCH('Standard rates calculator'!$B$6,LIST,0),6,1,SUMIF(Grades!$A:$A,'Standard rates calculator'!$B$6,Grades!$F:$F)),0),"-")</f>
        <v>-</v>
      </c>
    </row>
    <row r="161" spans="1:40" ht="18.75" customHeight="1" x14ac:dyDescent="0.35">
      <c r="A161" s="11"/>
      <c r="B161" s="3"/>
      <c r="D161" s="3"/>
      <c r="E161" s="3"/>
      <c r="F161" s="5"/>
      <c r="AN161" s="22" t="str">
        <f ca="1">IFERROR(MATCH(A161,OFFSET(Grades!$A$6,MATCH('Standard rates calculator'!$B$6,LIST,0),6,1,SUMIF(Grades!$A:$A,'Standard rates calculator'!$B$6,Grades!$F:$F)),0),"-")</f>
        <v>-</v>
      </c>
    </row>
    <row r="162" spans="1:40" ht="18.75" customHeight="1" x14ac:dyDescent="0.35">
      <c r="A162" s="11"/>
      <c r="B162" s="3"/>
      <c r="D162" s="3"/>
      <c r="E162" s="3"/>
      <c r="F162" s="5"/>
      <c r="AN162" s="22" t="str">
        <f ca="1">IFERROR(MATCH(A162,OFFSET(Grades!$A$6,MATCH('Standard rates calculator'!$B$6,LIST,0),6,1,SUMIF(Grades!$A:$A,'Standard rates calculator'!$B$6,Grades!$F:$F)),0),"-")</f>
        <v>-</v>
      </c>
    </row>
    <row r="163" spans="1:40" ht="18.75" customHeight="1" x14ac:dyDescent="0.35">
      <c r="A163" s="11"/>
      <c r="B163" s="3"/>
      <c r="D163" s="3"/>
      <c r="E163" s="3"/>
      <c r="F163" s="5"/>
      <c r="AN163" s="22" t="str">
        <f ca="1">IFERROR(MATCH(A163,OFFSET(Grades!$A$6,MATCH('Standard rates calculator'!$B$6,LIST,0),6,1,SUMIF(Grades!$A:$A,'Standard rates calculator'!$B$6,Grades!$F:$F)),0),"-")</f>
        <v>-</v>
      </c>
    </row>
    <row r="164" spans="1:40" ht="18.75" customHeight="1" x14ac:dyDescent="0.35">
      <c r="A164" s="11"/>
      <c r="B164" s="3"/>
      <c r="D164" s="3"/>
      <c r="E164" s="3"/>
      <c r="F164" s="5"/>
      <c r="AN164" s="22" t="str">
        <f ca="1">IFERROR(MATCH(A164,OFFSET(Grades!$A$6,MATCH('Standard rates calculator'!$B$6,LIST,0),6,1,SUMIF(Grades!$A:$A,'Standard rates calculator'!$B$6,Grades!$F:$F)),0),"-")</f>
        <v>-</v>
      </c>
    </row>
    <row r="165" spans="1:40" ht="18.75" customHeight="1" x14ac:dyDescent="0.35">
      <c r="A165" s="11"/>
      <c r="B165" s="3"/>
      <c r="D165" s="3"/>
      <c r="E165" s="3"/>
      <c r="F165" s="5"/>
      <c r="AN165" s="22" t="str">
        <f ca="1">IFERROR(MATCH(A165,OFFSET(Grades!$A$6,MATCH('Standard rates calculator'!$B$6,LIST,0),6,1,SUMIF(Grades!$A:$A,'Standard rates calculator'!$B$6,Grades!$F:$F)),0),"-")</f>
        <v>-</v>
      </c>
    </row>
    <row r="166" spans="1:40" ht="18.75" customHeight="1" x14ac:dyDescent="0.35">
      <c r="A166" s="11"/>
      <c r="B166" s="3"/>
      <c r="D166" s="3"/>
      <c r="E166" s="3"/>
      <c r="F166" s="5"/>
      <c r="AN166" s="22" t="str">
        <f ca="1">IFERROR(MATCH(A166,OFFSET(Grades!$A$6,MATCH('Standard rates calculator'!$B$6,LIST,0),6,1,SUMIF(Grades!$A:$A,'Standard rates calculator'!$B$6,Grades!$F:$F)),0),"-")</f>
        <v>-</v>
      </c>
    </row>
    <row r="167" spans="1:40" ht="18.75" customHeight="1" x14ac:dyDescent="0.35">
      <c r="A167" s="11"/>
      <c r="B167" s="3"/>
      <c r="D167" s="3"/>
      <c r="E167" s="3"/>
      <c r="F167" s="5"/>
      <c r="AN167" s="22" t="str">
        <f ca="1">IFERROR(MATCH(A167,OFFSET(Grades!$A$6,MATCH('Standard rates calculator'!$B$6,LIST,0),6,1,SUMIF(Grades!$A:$A,'Standard rates calculator'!$B$6,Grades!$F:$F)),0),"-")</f>
        <v>-</v>
      </c>
    </row>
    <row r="168" spans="1:40" ht="18.75" customHeight="1" x14ac:dyDescent="0.35">
      <c r="A168" s="11"/>
      <c r="B168" s="3"/>
      <c r="D168" s="3"/>
      <c r="E168" s="3"/>
      <c r="F168" s="5"/>
      <c r="AN168" s="22" t="str">
        <f ca="1">IFERROR(MATCH(A168,OFFSET(Grades!$A$6,MATCH('Standard rates calculator'!$B$6,LIST,0),6,1,SUMIF(Grades!$A:$A,'Standard rates calculator'!$B$6,Grades!$F:$F)),0),"-")</f>
        <v>-</v>
      </c>
    </row>
    <row r="169" spans="1:40" ht="18.75" customHeight="1" x14ac:dyDescent="0.35">
      <c r="A169" s="11"/>
      <c r="B169" s="3"/>
      <c r="D169" s="3"/>
      <c r="E169" s="3"/>
      <c r="F169" s="5"/>
      <c r="AN169" s="22" t="str">
        <f ca="1">IFERROR(MATCH(A169,OFFSET(Grades!$A$6,MATCH('Standard rates calculator'!$B$6,LIST,0),6,1,SUMIF(Grades!$A:$A,'Standard rates calculator'!$B$6,Grades!$F:$F)),0),"-")</f>
        <v>-</v>
      </c>
    </row>
    <row r="170" spans="1:40" ht="18.75" customHeight="1" x14ac:dyDescent="0.35">
      <c r="A170" s="11"/>
      <c r="B170" s="3"/>
      <c r="D170" s="3"/>
      <c r="E170" s="3"/>
      <c r="F170" s="5"/>
      <c r="AN170" s="22" t="str">
        <f ca="1">IFERROR(MATCH(A170,OFFSET(Grades!$A$6,MATCH('Standard rates calculator'!$B$6,LIST,0),6,1,SUMIF(Grades!$A:$A,'Standard rates calculator'!$B$6,Grades!$F:$F)),0),"-")</f>
        <v>-</v>
      </c>
    </row>
    <row r="171" spans="1:40" ht="18.75" customHeight="1" x14ac:dyDescent="0.35">
      <c r="A171" s="11"/>
      <c r="B171" s="3"/>
      <c r="D171" s="3"/>
      <c r="E171" s="3"/>
      <c r="F171" s="5"/>
      <c r="AN171" s="22" t="str">
        <f ca="1">IFERROR(MATCH(A171,OFFSET(Grades!$A$6,MATCH('Standard rates calculator'!$B$6,LIST,0),6,1,SUMIF(Grades!$A:$A,'Standard rates calculator'!$B$6,Grades!$F:$F)),0),"-")</f>
        <v>-</v>
      </c>
    </row>
    <row r="172" spans="1:40" ht="18.75" customHeight="1" x14ac:dyDescent="0.35">
      <c r="A172" s="11"/>
      <c r="B172" s="3"/>
      <c r="D172" s="3"/>
      <c r="E172" s="3"/>
      <c r="F172" s="5"/>
      <c r="AN172" s="22" t="str">
        <f ca="1">IFERROR(MATCH(A172,OFFSET(Grades!$A$6,MATCH('Standard rates calculator'!$B$6,LIST,0),6,1,SUMIF(Grades!$A:$A,'Standard rates calculator'!$B$6,Grades!$F:$F)),0),"-")</f>
        <v>-</v>
      </c>
    </row>
    <row r="173" spans="1:40" ht="18.75" customHeight="1" x14ac:dyDescent="0.35">
      <c r="A173" s="11"/>
      <c r="B173" s="3"/>
      <c r="D173" s="3"/>
      <c r="E173" s="3"/>
      <c r="F173" s="5"/>
      <c r="AN173" s="22" t="str">
        <f ca="1">IFERROR(MATCH(A173,OFFSET(Grades!$A$6,MATCH('Standard rates calculator'!$B$6,LIST,0),6,1,SUMIF(Grades!$A:$A,'Standard rates calculator'!$B$6,Grades!$F:$F)),0),"-")</f>
        <v>-</v>
      </c>
    </row>
    <row r="174" spans="1:40" ht="18.75" customHeight="1" x14ac:dyDescent="0.35">
      <c r="A174" s="11"/>
      <c r="B174" s="3"/>
      <c r="D174" s="3"/>
      <c r="E174" s="3"/>
      <c r="F174" s="5"/>
      <c r="AN174" s="22" t="str">
        <f ca="1">IFERROR(MATCH(A174,OFFSET(Grades!$A$6,MATCH('Standard rates calculator'!$B$6,LIST,0),6,1,SUMIF(Grades!$A:$A,'Standard rates calculator'!$B$6,Grades!$F:$F)),0),"-")</f>
        <v>-</v>
      </c>
    </row>
    <row r="175" spans="1:40" ht="18.75" customHeight="1" x14ac:dyDescent="0.35">
      <c r="A175" s="11"/>
      <c r="B175" s="3"/>
      <c r="D175" s="3"/>
      <c r="E175" s="3"/>
      <c r="F175" s="5"/>
      <c r="AN175" s="22" t="str">
        <f ca="1">IFERROR(MATCH(A175,OFFSET(Grades!$A$6,MATCH('Standard rates calculator'!$B$6,LIST,0),6,1,SUMIF(Grades!$A:$A,'Standard rates calculator'!$B$6,Grades!$F:$F)),0),"-")</f>
        <v>-</v>
      </c>
    </row>
    <row r="176" spans="1:40" ht="18.75" customHeight="1" x14ac:dyDescent="0.35">
      <c r="A176" s="11"/>
      <c r="B176" s="3"/>
      <c r="D176" s="3"/>
      <c r="E176" s="3"/>
      <c r="F176" s="5"/>
      <c r="AN176" s="22" t="str">
        <f ca="1">IFERROR(MATCH(A176,OFFSET(Grades!$A$6,MATCH('Standard rates calculator'!$B$6,LIST,0),6,1,SUMIF(Grades!$A:$A,'Standard rates calculator'!$B$6,Grades!$F:$F)),0),"-")</f>
        <v>-</v>
      </c>
    </row>
    <row r="177" spans="1:40" ht="18.75" customHeight="1" x14ac:dyDescent="0.35">
      <c r="A177" s="11"/>
      <c r="B177" s="3"/>
      <c r="D177" s="3"/>
      <c r="E177" s="3"/>
      <c r="F177" s="5"/>
      <c r="AN177" s="22" t="str">
        <f ca="1">IFERROR(MATCH(A177,OFFSET(Grades!$A$6,MATCH('Standard rates calculator'!$B$6,LIST,0),6,1,SUMIF(Grades!$A:$A,'Standard rates calculator'!$B$6,Grades!$F:$F)),0),"-")</f>
        <v>-</v>
      </c>
    </row>
    <row r="178" spans="1:40" ht="18.75" customHeight="1" x14ac:dyDescent="0.35">
      <c r="A178" s="11"/>
      <c r="B178" s="3"/>
      <c r="D178" s="3"/>
      <c r="E178" s="3"/>
      <c r="F178" s="5"/>
      <c r="AN178" s="22" t="str">
        <f ca="1">IFERROR(MATCH(A178,OFFSET(Grades!$A$6,MATCH('Standard rates calculator'!$B$6,LIST,0),6,1,SUMIF(Grades!$A:$A,'Standard rates calculator'!$B$6,Grades!$F:$F)),0),"-")</f>
        <v>-</v>
      </c>
    </row>
    <row r="179" spans="1:40" ht="18.75" customHeight="1" x14ac:dyDescent="0.35">
      <c r="A179" s="11"/>
      <c r="B179" s="3"/>
      <c r="D179" s="3"/>
      <c r="E179" s="3"/>
      <c r="F179" s="5"/>
      <c r="AN179" s="22" t="str">
        <f ca="1">IFERROR(MATCH(A179,OFFSET(Grades!$A$6,MATCH('Standard rates calculator'!$B$6,LIST,0),6,1,SUMIF(Grades!$A:$A,'Standard rates calculator'!$B$6,Grades!$F:$F)),0),"-")</f>
        <v>-</v>
      </c>
    </row>
    <row r="180" spans="1:40" ht="18.75" customHeight="1" x14ac:dyDescent="0.35">
      <c r="A180" s="11"/>
      <c r="B180" s="3"/>
      <c r="D180" s="3"/>
      <c r="E180" s="3"/>
      <c r="F180" s="5"/>
      <c r="AN180" s="22" t="str">
        <f ca="1">IFERROR(MATCH(A180,OFFSET(Grades!$A$6,MATCH('Standard rates calculator'!$B$6,LIST,0),6,1,SUMIF(Grades!$A:$A,'Standard rates calculator'!$B$6,Grades!$F:$F)),0),"-")</f>
        <v>-</v>
      </c>
    </row>
    <row r="181" spans="1:40" ht="18.75" customHeight="1" x14ac:dyDescent="0.35">
      <c r="A181" s="11"/>
      <c r="B181" s="3"/>
      <c r="D181" s="3"/>
      <c r="E181" s="3"/>
      <c r="F181" s="5"/>
      <c r="AN181" s="22" t="str">
        <f ca="1">IFERROR(MATCH(A181,OFFSET(Grades!$A$6,MATCH('Standard rates calculator'!$B$6,LIST,0),6,1,SUMIF(Grades!$A:$A,'Standard rates calculator'!$B$6,Grades!$F:$F)),0),"-")</f>
        <v>-</v>
      </c>
    </row>
    <row r="182" spans="1:40" ht="18.75" customHeight="1" x14ac:dyDescent="0.35">
      <c r="A182" s="11"/>
      <c r="B182" s="3"/>
      <c r="D182" s="3"/>
      <c r="E182" s="3"/>
      <c r="F182" s="5"/>
      <c r="AN182" s="22" t="str">
        <f ca="1">IFERROR(MATCH(A182,OFFSET(Grades!$A$6,MATCH('Standard rates calculator'!$B$6,LIST,0),6,1,SUMIF(Grades!$A:$A,'Standard rates calculator'!$B$6,Grades!$F:$F)),0),"-")</f>
        <v>-</v>
      </c>
    </row>
    <row r="183" spans="1:40" ht="18.75" customHeight="1" x14ac:dyDescent="0.35">
      <c r="A183" s="11"/>
      <c r="B183" s="3"/>
      <c r="D183" s="3"/>
      <c r="E183" s="3"/>
      <c r="F183" s="5"/>
      <c r="AN183" s="22" t="str">
        <f ca="1">IFERROR(MATCH(A183,OFFSET(Grades!$A$6,MATCH('Standard rates calculator'!$B$6,LIST,0),6,1,SUMIF(Grades!$A:$A,'Standard rates calculator'!$B$6,Grades!$F:$F)),0),"-")</f>
        <v>-</v>
      </c>
    </row>
    <row r="184" spans="1:40" ht="18.75" customHeight="1" x14ac:dyDescent="0.35">
      <c r="A184" s="11"/>
      <c r="B184" s="3"/>
      <c r="D184" s="3"/>
      <c r="E184" s="3"/>
      <c r="F184" s="5"/>
      <c r="AN184" s="22" t="str">
        <f ca="1">IFERROR(MATCH(A184,OFFSET(Grades!$A$6,MATCH('Standard rates calculator'!$B$6,LIST,0),6,1,SUMIF(Grades!$A:$A,'Standard rates calculator'!$B$6,Grades!$F:$F)),0),"-")</f>
        <v>-</v>
      </c>
    </row>
    <row r="185" spans="1:40" ht="18.75" customHeight="1" x14ac:dyDescent="0.35">
      <c r="A185" s="11"/>
      <c r="B185" s="3"/>
      <c r="D185" s="3"/>
      <c r="E185" s="3"/>
      <c r="F185" s="5"/>
      <c r="AN185" s="22" t="str">
        <f ca="1">IFERROR(MATCH(A185,OFFSET(Grades!$A$6,MATCH('Standard rates calculator'!$B$6,LIST,0),6,1,SUMIF(Grades!$A:$A,'Standard rates calculator'!$B$6,Grades!$F:$F)),0),"-")</f>
        <v>-</v>
      </c>
    </row>
    <row r="186" spans="1:40" ht="18.75" customHeight="1" x14ac:dyDescent="0.35">
      <c r="A186" s="11"/>
      <c r="B186" s="3"/>
      <c r="D186" s="3"/>
      <c r="E186" s="3"/>
      <c r="F186" s="5"/>
      <c r="AN186" s="22" t="str">
        <f ca="1">IFERROR(MATCH(A186,OFFSET(Grades!$A$6,MATCH('Standard rates calculator'!$B$6,LIST,0),6,1,SUMIF(Grades!$A:$A,'Standard rates calculator'!$B$6,Grades!$F:$F)),0),"-")</f>
        <v>-</v>
      </c>
    </row>
    <row r="187" spans="1:40" ht="18.75" customHeight="1" x14ac:dyDescent="0.35">
      <c r="A187" s="11"/>
      <c r="B187" s="3"/>
      <c r="D187" s="3"/>
      <c r="E187" s="3"/>
      <c r="F187" s="5"/>
      <c r="AN187" s="22" t="str">
        <f ca="1">IFERROR(MATCH(A187,OFFSET(Grades!$A$6,MATCH('Standard rates calculator'!$B$6,LIST,0),6,1,SUMIF(Grades!$A:$A,'Standard rates calculator'!$B$6,Grades!$F:$F)),0),"-")</f>
        <v>-</v>
      </c>
    </row>
    <row r="188" spans="1:40" ht="18.75" customHeight="1" x14ac:dyDescent="0.35">
      <c r="A188" s="11"/>
      <c r="B188" s="3"/>
      <c r="D188" s="3"/>
      <c r="E188" s="3"/>
      <c r="F188" s="5"/>
      <c r="AN188" s="22" t="str">
        <f ca="1">IFERROR(MATCH(A188,OFFSET(Grades!$A$6,MATCH('Standard rates calculator'!$B$6,LIST,0),6,1,SUMIF(Grades!$A:$A,'Standard rates calculator'!$B$6,Grades!$F:$F)),0),"-")</f>
        <v>-</v>
      </c>
    </row>
    <row r="189" spans="1:40" ht="18.75" customHeight="1" x14ac:dyDescent="0.35">
      <c r="A189" s="11"/>
      <c r="B189" s="3"/>
      <c r="D189" s="3"/>
      <c r="E189" s="3"/>
      <c r="F189" s="5"/>
      <c r="AN189" s="22" t="str">
        <f ca="1">IFERROR(MATCH(A189,OFFSET(Grades!$A$6,MATCH('Standard rates calculator'!$B$6,LIST,0),6,1,SUMIF(Grades!$A:$A,'Standard rates calculator'!$B$6,Grades!$F:$F)),0),"-")</f>
        <v>-</v>
      </c>
    </row>
    <row r="190" spans="1:40" ht="18.75" customHeight="1" x14ac:dyDescent="0.35">
      <c r="A190" s="11"/>
      <c r="B190" s="3"/>
      <c r="D190" s="3"/>
      <c r="E190" s="3"/>
      <c r="F190" s="5"/>
      <c r="AN190" s="22" t="str">
        <f ca="1">IFERROR(MATCH(A190,OFFSET(Grades!$A$6,MATCH('Standard rates calculator'!$B$6,LIST,0),6,1,SUMIF(Grades!$A:$A,'Standard rates calculator'!$B$6,Grades!$F:$F)),0),"-")</f>
        <v>-</v>
      </c>
    </row>
    <row r="191" spans="1:40" ht="18.75" customHeight="1" x14ac:dyDescent="0.35">
      <c r="A191" s="11"/>
      <c r="B191" s="3"/>
      <c r="D191" s="3"/>
      <c r="E191" s="3"/>
      <c r="F191" s="5"/>
      <c r="AN191" s="22" t="str">
        <f ca="1">IFERROR(MATCH(A191,OFFSET(Grades!$A$6,MATCH('Standard rates calculator'!$B$6,LIST,0),6,1,SUMIF(Grades!$A:$A,'Standard rates calculator'!$B$6,Grades!$F:$F)),0),"-")</f>
        <v>-</v>
      </c>
    </row>
    <row r="192" spans="1:40" ht="18.75" customHeight="1" x14ac:dyDescent="0.35">
      <c r="A192" s="11"/>
      <c r="B192" s="3"/>
      <c r="D192" s="3"/>
      <c r="E192" s="3"/>
      <c r="F192" s="5"/>
      <c r="AN192" s="22" t="str">
        <f ca="1">IFERROR(MATCH(A192,OFFSET(Grades!$A$6,MATCH('Standard rates calculator'!$B$6,LIST,0),6,1,SUMIF(Grades!$A:$A,'Standard rates calculator'!$B$6,Grades!$F:$F)),0),"-")</f>
        <v>-</v>
      </c>
    </row>
    <row r="193" spans="1:40" ht="18.75" customHeight="1" x14ac:dyDescent="0.35">
      <c r="A193" s="11"/>
      <c r="B193" s="3"/>
      <c r="D193" s="3"/>
      <c r="E193" s="3"/>
      <c r="F193" s="5"/>
      <c r="AN193" s="22" t="str">
        <f ca="1">IFERROR(MATCH(A193,OFFSET(Grades!$A$6,MATCH('Standard rates calculator'!$B$6,LIST,0),6,1,SUMIF(Grades!$A:$A,'Standard rates calculator'!$B$6,Grades!$F:$F)),0),"-")</f>
        <v>-</v>
      </c>
    </row>
    <row r="194" spans="1:40" ht="18.75" customHeight="1" x14ac:dyDescent="0.35">
      <c r="A194" s="11"/>
      <c r="B194" s="3"/>
      <c r="D194" s="3"/>
      <c r="E194" s="3"/>
      <c r="F194" s="5"/>
      <c r="AN194" s="22" t="str">
        <f ca="1">IFERROR(MATCH(A194,OFFSET(Grades!$A$6,MATCH('Standard rates calculator'!$B$6,LIST,0),6,1,SUMIF(Grades!$A:$A,'Standard rates calculator'!$B$6,Grades!$F:$F)),0),"-")</f>
        <v>-</v>
      </c>
    </row>
    <row r="195" spans="1:40" ht="18.75" customHeight="1" x14ac:dyDescent="0.35">
      <c r="A195" s="11"/>
      <c r="B195" s="3"/>
      <c r="D195" s="3"/>
      <c r="E195" s="3"/>
      <c r="F195" s="5"/>
      <c r="AN195" s="22" t="str">
        <f ca="1">IFERROR(MATCH(A195,OFFSET(Grades!$A$6,MATCH('Standard rates calculator'!$B$6,LIST,0),6,1,SUMIF(Grades!$A:$A,'Standard rates calculator'!$B$6,Grades!$F:$F)),0),"-")</f>
        <v>-</v>
      </c>
    </row>
    <row r="196" spans="1:40" ht="18.75" customHeight="1" x14ac:dyDescent="0.35">
      <c r="A196" s="11"/>
      <c r="B196" s="3"/>
      <c r="D196" s="3"/>
      <c r="E196" s="3"/>
      <c r="F196" s="5"/>
      <c r="AN196" s="22" t="str">
        <f ca="1">IFERROR(MATCH(A196,OFFSET(Grades!$A$6,MATCH('Standard rates calculator'!$B$6,LIST,0),6,1,SUMIF(Grades!$A:$A,'Standard rates calculator'!$B$6,Grades!$F:$F)),0),"-")</f>
        <v>-</v>
      </c>
    </row>
    <row r="197" spans="1:40" ht="18.75" customHeight="1" x14ac:dyDescent="0.35">
      <c r="A197" s="11"/>
      <c r="B197" s="3"/>
      <c r="D197" s="3"/>
      <c r="E197" s="3"/>
      <c r="F197" s="5"/>
      <c r="AN197" s="22" t="str">
        <f ca="1">IFERROR(MATCH(A197,OFFSET(Grades!$A$6,MATCH('Standard rates calculator'!$B$6,LIST,0),6,1,SUMIF(Grades!$A:$A,'Standard rates calculator'!$B$6,Grades!$F:$F)),0),"-")</f>
        <v>-</v>
      </c>
    </row>
    <row r="198" spans="1:40" ht="18.75" customHeight="1" x14ac:dyDescent="0.35">
      <c r="A198" s="11"/>
      <c r="B198" s="3"/>
      <c r="D198" s="3"/>
      <c r="E198" s="3"/>
      <c r="F198" s="5"/>
      <c r="AN198" s="22" t="str">
        <f ca="1">IFERROR(MATCH(A198,OFFSET(Grades!$A$6,MATCH('Standard rates calculator'!$B$6,LIST,0),6,1,SUMIF(Grades!$A:$A,'Standard rates calculator'!$B$6,Grades!$F:$F)),0),"-")</f>
        <v>-</v>
      </c>
    </row>
    <row r="199" spans="1:40" ht="18.75" customHeight="1" x14ac:dyDescent="0.35">
      <c r="A199" s="11"/>
      <c r="B199" s="3"/>
      <c r="D199" s="3"/>
      <c r="E199" s="3"/>
      <c r="F199" s="5"/>
      <c r="AN199" s="22" t="str">
        <f ca="1">IFERROR(MATCH(A199,OFFSET(Grades!$A$6,MATCH('Standard rates calculator'!$B$6,LIST,0),6,1,SUMIF(Grades!$A:$A,'Standard rates calculator'!$B$6,Grades!$F:$F)),0),"-")</f>
        <v>-</v>
      </c>
    </row>
    <row r="200" spans="1:40" ht="18.75" customHeight="1" x14ac:dyDescent="0.35">
      <c r="A200" s="11"/>
      <c r="B200" s="3"/>
      <c r="D200" s="3"/>
      <c r="E200" s="3"/>
      <c r="F200" s="5"/>
      <c r="AN200" s="22" t="str">
        <f ca="1">IFERROR(MATCH(A200,OFFSET(Grades!$A$6,MATCH('Standard rates calculator'!$B$6,LIST,0),6,1,SUMIF(Grades!$A:$A,'Standard rates calculator'!$B$6,Grades!$F:$F)),0),"-")</f>
        <v>-</v>
      </c>
    </row>
    <row r="201" spans="1:40" ht="18.75" customHeight="1" x14ac:dyDescent="0.35">
      <c r="A201" s="11"/>
      <c r="B201" s="3"/>
      <c r="D201" s="3"/>
      <c r="E201" s="3"/>
      <c r="F201" s="5"/>
      <c r="AN201" s="22" t="str">
        <f ca="1">IFERROR(MATCH(A201,OFFSET(Grades!$A$6,MATCH('Standard rates calculator'!$B$6,LIST,0),6,1,SUMIF(Grades!$A:$A,'Standard rates calculator'!$B$6,Grades!$F:$F)),0),"-")</f>
        <v>-</v>
      </c>
    </row>
    <row r="202" spans="1:40" ht="18.75" customHeight="1" x14ac:dyDescent="0.35">
      <c r="A202" s="11"/>
      <c r="B202" s="3"/>
      <c r="D202" s="3"/>
      <c r="E202" s="3"/>
      <c r="F202" s="5"/>
      <c r="AN202" s="22" t="str">
        <f ca="1">IFERROR(MATCH(A202,OFFSET(Grades!$A$6,MATCH('Standard rates calculator'!$B$6,LIST,0),6,1,SUMIF(Grades!$A:$A,'Standard rates calculator'!$B$6,Grades!$F:$F)),0),"-")</f>
        <v>-</v>
      </c>
    </row>
    <row r="203" spans="1:40" ht="18.75" customHeight="1" x14ac:dyDescent="0.35">
      <c r="A203" s="11"/>
      <c r="B203" s="3"/>
      <c r="D203" s="3"/>
      <c r="E203" s="3"/>
      <c r="F203" s="5"/>
      <c r="AN203" s="22" t="str">
        <f ca="1">IFERROR(MATCH(A203,OFFSET(Grades!$A$6,MATCH('Standard rates calculator'!$B$6,LIST,0),6,1,SUMIF(Grades!$A:$A,'Standard rates calculator'!$B$6,Grades!$F:$F)),0),"-")</f>
        <v>-</v>
      </c>
    </row>
    <row r="204" spans="1:40" ht="18.75" customHeight="1" x14ac:dyDescent="0.35">
      <c r="A204" s="11"/>
      <c r="B204" s="3"/>
      <c r="D204" s="3"/>
      <c r="E204" s="3"/>
      <c r="F204" s="5"/>
      <c r="AN204" s="22" t="str">
        <f ca="1">IFERROR(MATCH(A204,OFFSET(Grades!$A$6,MATCH('Standard rates calculator'!$B$6,LIST,0),6,1,SUMIF(Grades!$A:$A,'Standard rates calculator'!$B$6,Grades!$F:$F)),0),"-")</f>
        <v>-</v>
      </c>
    </row>
    <row r="205" spans="1:40" ht="18.75" customHeight="1" x14ac:dyDescent="0.35">
      <c r="A205" s="11"/>
      <c r="B205" s="3"/>
      <c r="D205" s="3"/>
      <c r="E205" s="3"/>
      <c r="F205" s="5"/>
      <c r="AN205" s="22" t="str">
        <f ca="1">IFERROR(MATCH(A205,OFFSET(Grades!$A$6,MATCH('Standard rates calculator'!$B$6,LIST,0),6,1,SUMIF(Grades!$A:$A,'Standard rates calculator'!$B$6,Grades!$F:$F)),0),"-")</f>
        <v>-</v>
      </c>
    </row>
    <row r="206" spans="1:40" ht="18.75" customHeight="1" x14ac:dyDescent="0.35">
      <c r="A206" s="11"/>
      <c r="B206" s="3"/>
      <c r="D206" s="3"/>
      <c r="E206" s="3"/>
      <c r="F206" s="5"/>
      <c r="AN206" s="22" t="str">
        <f ca="1">IFERROR(MATCH(A206,OFFSET(Grades!$A$6,MATCH('Standard rates calculator'!$B$6,LIST,0),6,1,SUMIF(Grades!$A:$A,'Standard rates calculator'!$B$6,Grades!$F:$F)),0),"-")</f>
        <v>-</v>
      </c>
    </row>
    <row r="207" spans="1:40" ht="18.75" customHeight="1" x14ac:dyDescent="0.35">
      <c r="A207" s="11"/>
      <c r="B207" s="3"/>
      <c r="D207" s="3"/>
      <c r="E207" s="3"/>
      <c r="F207" s="5"/>
      <c r="AN207" s="22" t="str">
        <f ca="1">IFERROR(MATCH(A207,OFFSET(Grades!$A$6,MATCH('Standard rates calculator'!$B$6,LIST,0),6,1,SUMIF(Grades!$A:$A,'Standard rates calculator'!$B$6,Grades!$F:$F)),0),"-")</f>
        <v>-</v>
      </c>
    </row>
    <row r="208" spans="1:40" ht="18.75" customHeight="1" x14ac:dyDescent="0.35">
      <c r="A208" s="11"/>
      <c r="B208" s="3"/>
      <c r="D208" s="3"/>
      <c r="E208" s="3"/>
      <c r="F208" s="5"/>
      <c r="AN208" s="22" t="str">
        <f ca="1">IFERROR(MATCH(A208,OFFSET(Grades!$A$6,MATCH('Standard rates calculator'!$B$6,LIST,0),6,1,SUMIF(Grades!$A:$A,'Standard rates calculator'!$B$6,Grades!$F:$F)),0),"-")</f>
        <v>-</v>
      </c>
    </row>
    <row r="209" spans="1:40" ht="18.75" customHeight="1" x14ac:dyDescent="0.35">
      <c r="A209" s="11"/>
      <c r="B209" s="3"/>
      <c r="D209" s="3"/>
      <c r="E209" s="3"/>
      <c r="F209" s="5"/>
      <c r="AN209" s="22" t="str">
        <f ca="1">IFERROR(MATCH(A209,OFFSET(Grades!$A$6,MATCH('Standard rates calculator'!$B$6,LIST,0),6,1,SUMIF(Grades!$A:$A,'Standard rates calculator'!$B$6,Grades!$F:$F)),0),"-")</f>
        <v>-</v>
      </c>
    </row>
    <row r="210" spans="1:40" ht="18.75" customHeight="1" x14ac:dyDescent="0.35">
      <c r="A210" s="11"/>
      <c r="B210" s="3"/>
      <c r="D210" s="3"/>
      <c r="E210" s="3"/>
      <c r="F210" s="5"/>
      <c r="AN210" s="22" t="str">
        <f ca="1">IFERROR(MATCH(A210,OFFSET(Grades!$A$6,MATCH('Standard rates calculator'!$B$6,LIST,0),6,1,SUMIF(Grades!$A:$A,'Standard rates calculator'!$B$6,Grades!$F:$F)),0),"-")</f>
        <v>-</v>
      </c>
    </row>
    <row r="211" spans="1:40" ht="18.75" customHeight="1" x14ac:dyDescent="0.35">
      <c r="A211" s="11"/>
      <c r="B211" s="3"/>
      <c r="D211" s="3"/>
      <c r="E211" s="3"/>
      <c r="F211" s="5"/>
      <c r="AN211" s="22" t="str">
        <f ca="1">IFERROR(MATCH(A211,OFFSET(Grades!$A$6,MATCH('Standard rates calculator'!$B$6,LIST,0),6,1,SUMIF(Grades!$A:$A,'Standard rates calculator'!$B$6,Grades!$F:$F)),0),"-")</f>
        <v>-</v>
      </c>
    </row>
    <row r="212" spans="1:40" ht="18.75" customHeight="1" x14ac:dyDescent="0.35">
      <c r="A212" s="11"/>
      <c r="B212" s="3"/>
      <c r="D212" s="3"/>
      <c r="E212" s="3"/>
      <c r="F212" s="5"/>
      <c r="AN212" s="22" t="str">
        <f ca="1">IFERROR(MATCH(A212,OFFSET(Grades!$A$6,MATCH('Standard rates calculator'!$B$6,LIST,0),6,1,SUMIF(Grades!$A:$A,'Standard rates calculator'!$B$6,Grades!$F:$F)),0),"-")</f>
        <v>-</v>
      </c>
    </row>
    <row r="213" spans="1:40" ht="18.75" customHeight="1" x14ac:dyDescent="0.35">
      <c r="A213" s="11"/>
      <c r="B213" s="3"/>
      <c r="D213" s="3"/>
      <c r="E213" s="3"/>
      <c r="F213" s="5"/>
      <c r="AN213" s="22" t="str">
        <f ca="1">IFERROR(MATCH(A213,OFFSET(Grades!$A$6,MATCH('Standard rates calculator'!$B$6,LIST,0),6,1,SUMIF(Grades!$A:$A,'Standard rates calculator'!$B$6,Grades!$F:$F)),0),"-")</f>
        <v>-</v>
      </c>
    </row>
    <row r="214" spans="1:40" ht="18.75" customHeight="1" x14ac:dyDescent="0.35">
      <c r="A214" s="11"/>
      <c r="B214" s="3"/>
      <c r="D214" s="3"/>
      <c r="E214" s="3"/>
      <c r="F214" s="5"/>
      <c r="AN214" s="22" t="str">
        <f ca="1">IFERROR(MATCH(A214,OFFSET(Grades!$A$6,MATCH('Standard rates calculator'!$B$6,LIST,0),6,1,SUMIF(Grades!$A:$A,'Standard rates calculator'!$B$6,Grades!$F:$F)),0),"-")</f>
        <v>-</v>
      </c>
    </row>
    <row r="215" spans="1:40" ht="18.75" customHeight="1" x14ac:dyDescent="0.35">
      <c r="A215" s="11"/>
      <c r="B215" s="3"/>
      <c r="D215" s="3"/>
      <c r="E215" s="3"/>
      <c r="F215" s="5"/>
      <c r="AN215" s="22" t="str">
        <f ca="1">IFERROR(MATCH(A215,OFFSET(Grades!$A$6,MATCH('Standard rates calculator'!$B$6,LIST,0),6,1,SUMIF(Grades!$A:$A,'Standard rates calculator'!$B$6,Grades!$F:$F)),0),"-")</f>
        <v>-</v>
      </c>
    </row>
    <row r="216" spans="1:40" ht="18.75" customHeight="1" x14ac:dyDescent="0.35">
      <c r="A216" s="11"/>
      <c r="B216" s="3"/>
      <c r="D216" s="3"/>
      <c r="E216" s="3"/>
      <c r="F216" s="5"/>
      <c r="AN216" s="22" t="str">
        <f ca="1">IFERROR(MATCH(A216,OFFSET(Grades!$A$6,MATCH('Standard rates calculator'!$B$6,LIST,0),6,1,SUMIF(Grades!$A:$A,'Standard rates calculator'!$B$6,Grades!$F:$F)),0),"-")</f>
        <v>-</v>
      </c>
    </row>
    <row r="217" spans="1:40" ht="18.75" customHeight="1" x14ac:dyDescent="0.35">
      <c r="A217" s="11"/>
      <c r="B217" s="3"/>
      <c r="D217" s="3"/>
      <c r="E217" s="3"/>
      <c r="F217" s="5"/>
      <c r="AN217" s="22" t="str">
        <f ca="1">IFERROR(MATCH(A217,OFFSET(Grades!$A$6,MATCH('Standard rates calculator'!$B$6,LIST,0),6,1,SUMIF(Grades!$A:$A,'Standard rates calculator'!$B$6,Grades!$F:$F)),0),"-")</f>
        <v>-</v>
      </c>
    </row>
    <row r="218" spans="1:40" ht="18.75" customHeight="1" x14ac:dyDescent="0.35">
      <c r="A218" s="11"/>
      <c r="B218" s="3"/>
      <c r="D218" s="3"/>
      <c r="E218" s="3"/>
      <c r="F218" s="5"/>
      <c r="AN218" s="22" t="str">
        <f ca="1">IFERROR(MATCH(A218,OFFSET(Grades!$A$6,MATCH('Standard rates calculator'!$B$6,LIST,0),6,1,SUMIF(Grades!$A:$A,'Standard rates calculator'!$B$6,Grades!$F:$F)),0),"-")</f>
        <v>-</v>
      </c>
    </row>
    <row r="219" spans="1:40" ht="18.75" customHeight="1" x14ac:dyDescent="0.35">
      <c r="A219" s="11"/>
      <c r="B219" s="3"/>
      <c r="D219" s="3"/>
      <c r="E219" s="3"/>
      <c r="F219" s="5"/>
      <c r="AN219" s="22" t="str">
        <f ca="1">IFERROR(MATCH(A219,OFFSET(Grades!$A$6,MATCH('Standard rates calculator'!$B$6,LIST,0),6,1,SUMIF(Grades!$A:$A,'Standard rates calculator'!$B$6,Grades!$F:$F)),0),"-")</f>
        <v>-</v>
      </c>
    </row>
    <row r="220" spans="1:40" ht="18.75" customHeight="1" x14ac:dyDescent="0.35">
      <c r="A220" s="11"/>
      <c r="B220" s="3"/>
      <c r="D220" s="3"/>
      <c r="E220" s="3"/>
      <c r="F220" s="5"/>
      <c r="AN220" s="22" t="str">
        <f ca="1">IFERROR(MATCH(A220,OFFSET(Grades!$A$6,MATCH('Standard rates calculator'!$B$6,LIST,0),6,1,SUMIF(Grades!$A:$A,'Standard rates calculator'!$B$6,Grades!$F:$F)),0),"-")</f>
        <v>-</v>
      </c>
    </row>
    <row r="221" spans="1:40" ht="18.75" customHeight="1" x14ac:dyDescent="0.35">
      <c r="A221" s="11"/>
      <c r="B221" s="3"/>
      <c r="D221" s="3"/>
      <c r="E221" s="3"/>
      <c r="F221" s="5"/>
      <c r="AN221" s="22" t="str">
        <f ca="1">IFERROR(MATCH(A221,OFFSET(Grades!$A$6,MATCH('Standard rates calculator'!$B$6,LIST,0),6,1,SUMIF(Grades!$A:$A,'Standard rates calculator'!$B$6,Grades!$F:$F)),0),"-")</f>
        <v>-</v>
      </c>
    </row>
    <row r="222" spans="1:40" ht="18.75" customHeight="1" x14ac:dyDescent="0.35">
      <c r="A222" s="11"/>
      <c r="B222" s="3"/>
      <c r="D222" s="3"/>
      <c r="E222" s="3"/>
      <c r="F222" s="5"/>
      <c r="AN222" s="22" t="str">
        <f ca="1">IFERROR(MATCH(A222,OFFSET(Grades!$A$6,MATCH('Standard rates calculator'!$B$6,LIST,0),6,1,SUMIF(Grades!$A:$A,'Standard rates calculator'!$B$6,Grades!$F:$F)),0),"-")</f>
        <v>-</v>
      </c>
    </row>
    <row r="223" spans="1:40" ht="18.75" customHeight="1" x14ac:dyDescent="0.35">
      <c r="A223" s="11"/>
      <c r="B223" s="3"/>
      <c r="D223" s="3"/>
      <c r="E223" s="3"/>
      <c r="F223" s="5"/>
      <c r="AN223" s="22" t="str">
        <f ca="1">IFERROR(MATCH(A223,OFFSET(Grades!$A$6,MATCH('Standard rates calculator'!$B$6,LIST,0),6,1,SUMIF(Grades!$A:$A,'Standard rates calculator'!$B$6,Grades!$F:$F)),0),"-")</f>
        <v>-</v>
      </c>
    </row>
    <row r="224" spans="1:40" ht="18.75" customHeight="1" x14ac:dyDescent="0.35">
      <c r="A224" s="11"/>
      <c r="B224" s="3"/>
      <c r="D224" s="3"/>
      <c r="E224" s="3"/>
      <c r="F224" s="5"/>
      <c r="AN224" s="22" t="str">
        <f ca="1">IFERROR(MATCH(A224,OFFSET(Grades!$A$6,MATCH('Standard rates calculator'!$B$6,LIST,0),6,1,SUMIF(Grades!$A:$A,'Standard rates calculator'!$B$6,Grades!$F:$F)),0),"-")</f>
        <v>-</v>
      </c>
    </row>
    <row r="225" spans="1:40" ht="18.75" customHeight="1" x14ac:dyDescent="0.35">
      <c r="A225" s="11"/>
      <c r="B225" s="3"/>
      <c r="D225" s="3"/>
      <c r="E225" s="3"/>
      <c r="F225" s="5"/>
      <c r="AN225" s="22" t="str">
        <f ca="1">IFERROR(MATCH(A225,OFFSET(Grades!$A$6,MATCH('Standard rates calculator'!$B$6,LIST,0),6,1,SUMIF(Grades!$A:$A,'Standard rates calculator'!$B$6,Grades!$F:$F)),0),"-")</f>
        <v>-</v>
      </c>
    </row>
    <row r="226" spans="1:40" ht="18.75" customHeight="1" x14ac:dyDescent="0.35">
      <c r="A226" s="11"/>
      <c r="B226" s="3"/>
      <c r="D226" s="3"/>
      <c r="E226" s="3"/>
      <c r="F226" s="5"/>
      <c r="AN226" s="22" t="str">
        <f ca="1">IFERROR(MATCH(A226,OFFSET(Grades!$A$6,MATCH('Standard rates calculator'!$B$6,LIST,0),6,1,SUMIF(Grades!$A:$A,'Standard rates calculator'!$B$6,Grades!$F:$F)),0),"-")</f>
        <v>-</v>
      </c>
    </row>
    <row r="227" spans="1:40" ht="18.75" customHeight="1" x14ac:dyDescent="0.35">
      <c r="A227" s="11"/>
      <c r="B227" s="3"/>
      <c r="D227" s="3"/>
      <c r="E227" s="3"/>
      <c r="F227" s="5"/>
      <c r="AN227" s="22" t="str">
        <f ca="1">IFERROR(MATCH(A227,OFFSET(Grades!$A$6,MATCH('Standard rates calculator'!$B$6,LIST,0),6,1,SUMIF(Grades!$A:$A,'Standard rates calculator'!$B$6,Grades!$F:$F)),0),"-")</f>
        <v>-</v>
      </c>
    </row>
    <row r="228" spans="1:40" ht="18.75" customHeight="1" x14ac:dyDescent="0.35">
      <c r="A228" s="11"/>
      <c r="B228" s="3"/>
      <c r="D228" s="3"/>
      <c r="E228" s="3"/>
      <c r="F228" s="5"/>
      <c r="AN228" s="22" t="str">
        <f ca="1">IFERROR(MATCH(A228,OFFSET(Grades!$A$6,MATCH('Standard rates calculator'!$B$6,LIST,0),6,1,SUMIF(Grades!$A:$A,'Standard rates calculator'!$B$6,Grades!$F:$F)),0),"-")</f>
        <v>-</v>
      </c>
    </row>
    <row r="229" spans="1:40" ht="18.75" customHeight="1" x14ac:dyDescent="0.35">
      <c r="A229" s="11"/>
      <c r="B229" s="3"/>
      <c r="D229" s="3"/>
      <c r="E229" s="3"/>
      <c r="F229" s="5"/>
      <c r="AN229" s="22" t="str">
        <f ca="1">IFERROR(MATCH(A229,OFFSET(Grades!$A$6,MATCH('Standard rates calculator'!$B$6,LIST,0),6,1,SUMIF(Grades!$A:$A,'Standard rates calculator'!$B$6,Grades!$F:$F)),0),"-")</f>
        <v>-</v>
      </c>
    </row>
    <row r="230" spans="1:40" ht="18.75" customHeight="1" x14ac:dyDescent="0.35">
      <c r="A230" s="11"/>
      <c r="B230" s="3"/>
      <c r="D230" s="3"/>
      <c r="E230" s="3"/>
      <c r="F230" s="5"/>
      <c r="AN230" s="22" t="str">
        <f ca="1">IFERROR(MATCH(A230,OFFSET(Grades!$A$6,MATCH('Standard rates calculator'!$B$6,LIST,0),6,1,SUMIF(Grades!$A:$A,'Standard rates calculator'!$B$6,Grades!$F:$F)),0),"-")</f>
        <v>-</v>
      </c>
    </row>
    <row r="231" spans="1:40" ht="18.75" customHeight="1" x14ac:dyDescent="0.35">
      <c r="A231" s="11"/>
      <c r="B231" s="3"/>
      <c r="D231" s="3"/>
      <c r="E231" s="3"/>
      <c r="F231" s="5"/>
      <c r="AN231" s="22" t="str">
        <f ca="1">IFERROR(MATCH(A231,OFFSET(Grades!$A$6,MATCH('Standard rates calculator'!$B$6,LIST,0),6,1,SUMIF(Grades!$A:$A,'Standard rates calculator'!$B$6,Grades!$F:$F)),0),"-")</f>
        <v>-</v>
      </c>
    </row>
    <row r="232" spans="1:40" ht="18.75" customHeight="1" x14ac:dyDescent="0.35">
      <c r="A232" s="11"/>
      <c r="B232" s="3"/>
      <c r="D232" s="3"/>
      <c r="E232" s="3"/>
      <c r="F232" s="5"/>
      <c r="AN232" s="22" t="str">
        <f ca="1">IFERROR(MATCH(A232,OFFSET(Grades!$A$6,MATCH('Standard rates calculator'!$B$6,LIST,0),6,1,SUMIF(Grades!$A:$A,'Standard rates calculator'!$B$6,Grades!$F:$F)),0),"-")</f>
        <v>-</v>
      </c>
    </row>
    <row r="233" spans="1:40" ht="18.75" customHeight="1" x14ac:dyDescent="0.35">
      <c r="A233" s="11"/>
      <c r="B233" s="3"/>
      <c r="D233" s="3"/>
      <c r="E233" s="3"/>
      <c r="F233" s="5"/>
      <c r="AN233" s="22" t="str">
        <f ca="1">IFERROR(MATCH(A233,OFFSET(Grades!$A$6,MATCH('Standard rates calculator'!$B$6,LIST,0),6,1,SUMIF(Grades!$A:$A,'Standard rates calculator'!$B$6,Grades!$F:$F)),0),"-")</f>
        <v>-</v>
      </c>
    </row>
    <row r="234" spans="1:40" ht="18.75" customHeight="1" x14ac:dyDescent="0.35">
      <c r="A234" s="11"/>
      <c r="B234" s="3"/>
      <c r="D234" s="3"/>
      <c r="E234" s="3"/>
      <c r="F234" s="5"/>
      <c r="AN234" s="22" t="str">
        <f ca="1">IFERROR(MATCH(A234,OFFSET(Grades!$A$6,MATCH('Standard rates calculator'!$B$6,LIST,0),6,1,SUMIF(Grades!$A:$A,'Standard rates calculator'!$B$6,Grades!$F:$F)),0),"-")</f>
        <v>-</v>
      </c>
    </row>
    <row r="235" spans="1:40" ht="18.75" customHeight="1" x14ac:dyDescent="0.35">
      <c r="A235" s="11"/>
      <c r="B235" s="3"/>
      <c r="D235" s="3"/>
      <c r="E235" s="3"/>
      <c r="F235" s="5"/>
      <c r="AN235" s="22" t="str">
        <f ca="1">IFERROR(MATCH(A235,OFFSET(Grades!$A$6,MATCH('Standard rates calculator'!$B$6,LIST,0),6,1,SUMIF(Grades!$A:$A,'Standard rates calculator'!$B$6,Grades!$F:$F)),0),"-")</f>
        <v>-</v>
      </c>
    </row>
    <row r="236" spans="1:40" ht="18.75" customHeight="1" x14ac:dyDescent="0.35">
      <c r="A236" s="11"/>
      <c r="B236" s="3"/>
      <c r="D236" s="3"/>
      <c r="E236" s="3"/>
      <c r="F236" s="5"/>
      <c r="AN236" s="22" t="str">
        <f ca="1">IFERROR(MATCH(A236,OFFSET(Grades!$A$6,MATCH('Standard rates calculator'!$B$6,LIST,0),6,1,SUMIF(Grades!$A:$A,'Standard rates calculator'!$B$6,Grades!$F:$F)),0),"-")</f>
        <v>-</v>
      </c>
    </row>
    <row r="237" spans="1:40" ht="18.75" customHeight="1" x14ac:dyDescent="0.35">
      <c r="A237" s="11"/>
      <c r="B237" s="3"/>
      <c r="D237" s="3"/>
      <c r="E237" s="3"/>
      <c r="F237" s="5"/>
      <c r="AN237" s="22" t="str">
        <f ca="1">IFERROR(MATCH(A237,OFFSET(Grades!$A$6,MATCH('Standard rates calculator'!$B$6,LIST,0),6,1,SUMIF(Grades!$A:$A,'Standard rates calculator'!$B$6,Grades!$F:$F)),0),"-")</f>
        <v>-</v>
      </c>
    </row>
    <row r="238" spans="1:40" ht="18.75" customHeight="1" x14ac:dyDescent="0.35">
      <c r="A238" s="11"/>
      <c r="B238" s="3"/>
      <c r="D238" s="3"/>
      <c r="E238" s="3"/>
      <c r="F238" s="5"/>
      <c r="AN238" s="22" t="str">
        <f ca="1">IFERROR(MATCH(A238,OFFSET(Grades!$A$6,MATCH('Standard rates calculator'!$B$6,LIST,0),6,1,SUMIF(Grades!$A:$A,'Standard rates calculator'!$B$6,Grades!$F:$F)),0),"-")</f>
        <v>-</v>
      </c>
    </row>
    <row r="239" spans="1:40" ht="18.75" customHeight="1" x14ac:dyDescent="0.35">
      <c r="A239" s="11"/>
      <c r="B239" s="3"/>
      <c r="D239" s="3"/>
      <c r="E239" s="3"/>
      <c r="F239" s="5"/>
      <c r="AN239" s="22" t="str">
        <f ca="1">IFERROR(MATCH(A239,OFFSET(Grades!$A$6,MATCH('Standard rates calculator'!$B$6,LIST,0),6,1,SUMIF(Grades!$A:$A,'Standard rates calculator'!$B$6,Grades!$F:$F)),0),"-")</f>
        <v>-</v>
      </c>
    </row>
    <row r="240" spans="1:40" ht="18.75" customHeight="1" x14ac:dyDescent="0.35">
      <c r="A240" s="11"/>
      <c r="B240" s="3"/>
      <c r="D240" s="3"/>
      <c r="E240" s="3"/>
      <c r="F240" s="5"/>
      <c r="AN240" s="22" t="str">
        <f ca="1">IFERROR(MATCH(A240,OFFSET(Grades!$A$6,MATCH('Standard rates calculator'!$B$6,LIST,0),6,1,SUMIF(Grades!$A:$A,'Standard rates calculator'!$B$6,Grades!$F:$F)),0),"-")</f>
        <v>-</v>
      </c>
    </row>
    <row r="241" spans="1:40" ht="18.75" customHeight="1" x14ac:dyDescent="0.35">
      <c r="A241" s="11"/>
      <c r="B241" s="3"/>
      <c r="D241" s="3"/>
      <c r="E241" s="3"/>
      <c r="F241" s="5"/>
      <c r="AN241" s="22" t="str">
        <f ca="1">IFERROR(MATCH(A241,OFFSET(Grades!$A$6,MATCH('Standard rates calculator'!$B$6,LIST,0),6,1,SUMIF(Grades!$A:$A,'Standard rates calculator'!$B$6,Grades!$F:$F)),0),"-")</f>
        <v>-</v>
      </c>
    </row>
    <row r="242" spans="1:40" ht="18.75" customHeight="1" x14ac:dyDescent="0.35">
      <c r="A242" s="11"/>
      <c r="B242" s="3"/>
      <c r="D242" s="3"/>
      <c r="E242" s="3"/>
      <c r="F242" s="5"/>
      <c r="AN242" s="22" t="str">
        <f ca="1">IFERROR(MATCH(A242,OFFSET(Grades!$A$6,MATCH('Standard rates calculator'!$B$6,LIST,0),6,1,SUMIF(Grades!$A:$A,'Standard rates calculator'!$B$6,Grades!$F:$F)),0),"-")</f>
        <v>-</v>
      </c>
    </row>
    <row r="243" spans="1:40" ht="18.75" customHeight="1" x14ac:dyDescent="0.35">
      <c r="A243" s="11"/>
      <c r="B243" s="3"/>
      <c r="D243" s="3"/>
      <c r="E243" s="3"/>
      <c r="F243" s="5"/>
      <c r="AN243" s="22" t="str">
        <f ca="1">IFERROR(MATCH(A243,OFFSET(Grades!$A$6,MATCH('Standard rates calculator'!$B$6,LIST,0),6,1,SUMIF(Grades!$A:$A,'Standard rates calculator'!$B$6,Grades!$F:$F)),0),"-")</f>
        <v>-</v>
      </c>
    </row>
    <row r="244" spans="1:40" ht="18.75" customHeight="1" x14ac:dyDescent="0.35">
      <c r="A244" s="11"/>
      <c r="B244" s="3"/>
      <c r="D244" s="3"/>
      <c r="E244" s="3"/>
      <c r="F244" s="5"/>
      <c r="AN244" s="22" t="str">
        <f ca="1">IFERROR(MATCH(A244,OFFSET(Grades!$A$6,MATCH('Standard rates calculator'!$B$6,LIST,0),6,1,SUMIF(Grades!$A:$A,'Standard rates calculator'!$B$6,Grades!$F:$F)),0),"-")</f>
        <v>-</v>
      </c>
    </row>
    <row r="245" spans="1:40" ht="18.75" customHeight="1" x14ac:dyDescent="0.35">
      <c r="A245" s="11"/>
      <c r="B245" s="3"/>
      <c r="D245" s="3"/>
      <c r="E245" s="3"/>
      <c r="F245" s="5"/>
      <c r="AN245" s="22" t="str">
        <f ca="1">IFERROR(MATCH(A245,OFFSET(Grades!$A$6,MATCH('Standard rates calculator'!$B$6,LIST,0),6,1,SUMIF(Grades!$A:$A,'Standard rates calculator'!$B$6,Grades!$F:$F)),0),"-")</f>
        <v>-</v>
      </c>
    </row>
    <row r="246" spans="1:40" ht="18.75" customHeight="1" x14ac:dyDescent="0.35">
      <c r="A246" s="11"/>
      <c r="B246" s="3"/>
      <c r="D246" s="3"/>
      <c r="E246" s="3"/>
      <c r="F246" s="5"/>
      <c r="AN246" s="22" t="str">
        <f ca="1">IFERROR(MATCH(A246,OFFSET(Grades!$A$6,MATCH('Standard rates calculator'!$B$6,LIST,0),6,1,SUMIF(Grades!$A:$A,'Standard rates calculator'!$B$6,Grades!$F:$F)),0),"-")</f>
        <v>-</v>
      </c>
    </row>
    <row r="247" spans="1:40" ht="18.75" customHeight="1" x14ac:dyDescent="0.35">
      <c r="A247" s="11"/>
      <c r="B247" s="3"/>
      <c r="D247" s="3"/>
      <c r="E247" s="3"/>
      <c r="F247" s="5"/>
      <c r="AN247" s="22" t="str">
        <f ca="1">IFERROR(MATCH(A247,OFFSET(Grades!$A$6,MATCH('Standard rates calculator'!$B$6,LIST,0),6,1,SUMIF(Grades!$A:$A,'Standard rates calculator'!$B$6,Grades!$F:$F)),0),"-")</f>
        <v>-</v>
      </c>
    </row>
    <row r="248" spans="1:40" ht="18.75" customHeight="1" x14ac:dyDescent="0.35">
      <c r="A248" s="11"/>
      <c r="B248" s="3"/>
      <c r="D248" s="3"/>
      <c r="E248" s="3"/>
      <c r="F248" s="5"/>
      <c r="AN248" s="22" t="str">
        <f ca="1">IFERROR(MATCH(A248,OFFSET(Grades!$A$6,MATCH('Standard rates calculator'!$B$6,LIST,0),6,1,SUMIF(Grades!$A:$A,'Standard rates calculator'!$B$6,Grades!$F:$F)),0),"-")</f>
        <v>-</v>
      </c>
    </row>
    <row r="249" spans="1:40" ht="18.75" customHeight="1" x14ac:dyDescent="0.35">
      <c r="A249" s="11"/>
      <c r="B249" s="3"/>
      <c r="D249" s="3"/>
      <c r="E249" s="3"/>
      <c r="F249" s="5"/>
      <c r="AN249" s="22" t="str">
        <f ca="1">IFERROR(MATCH(A249,OFFSET(Grades!$A$6,MATCH('Standard rates calculator'!$B$6,LIST,0),6,1,SUMIF(Grades!$A:$A,'Standard rates calculator'!$B$6,Grades!$F:$F)),0),"-")</f>
        <v>-</v>
      </c>
    </row>
    <row r="250" spans="1:40" ht="18.75" customHeight="1" x14ac:dyDescent="0.35">
      <c r="A250" s="11"/>
      <c r="B250" s="3"/>
      <c r="D250" s="3"/>
      <c r="E250" s="3"/>
      <c r="F250" s="5"/>
      <c r="AN250" s="22" t="str">
        <f ca="1">IFERROR(MATCH(A250,OFFSET(Grades!$A$6,MATCH('Standard rates calculator'!$B$6,LIST,0),6,1,SUMIF(Grades!$A:$A,'Standard rates calculator'!$B$6,Grades!$F:$F)),0),"-")</f>
        <v>-</v>
      </c>
    </row>
    <row r="251" spans="1:40" ht="18.75" customHeight="1" x14ac:dyDescent="0.35">
      <c r="A251" s="11"/>
      <c r="B251" s="3"/>
      <c r="D251" s="3"/>
      <c r="E251" s="3"/>
      <c r="F251" s="5"/>
      <c r="AN251" s="22" t="str">
        <f ca="1">IFERROR(MATCH(A251,OFFSET(Grades!$A$6,MATCH('Standard rates calculator'!$B$6,LIST,0),6,1,SUMIF(Grades!$A:$A,'Standard rates calculator'!$B$6,Grades!$F:$F)),0),"-")</f>
        <v>-</v>
      </c>
    </row>
    <row r="252" spans="1:40" ht="18.75" customHeight="1" x14ac:dyDescent="0.35">
      <c r="A252" s="11"/>
      <c r="B252" s="3"/>
      <c r="D252" s="3"/>
      <c r="E252" s="3"/>
      <c r="F252" s="5"/>
      <c r="AN252" s="22" t="str">
        <f ca="1">IFERROR(MATCH(A252,OFFSET(Grades!$A$6,MATCH('Standard rates calculator'!$B$6,LIST,0),6,1,SUMIF(Grades!$A:$A,'Standard rates calculator'!$B$6,Grades!$F:$F)),0),"-")</f>
        <v>-</v>
      </c>
    </row>
    <row r="253" spans="1:40" ht="18.75" customHeight="1" x14ac:dyDescent="0.35">
      <c r="A253" s="11"/>
      <c r="B253" s="3"/>
      <c r="D253" s="3"/>
      <c r="E253" s="3"/>
      <c r="F253" s="5"/>
      <c r="AN253" s="22" t="str">
        <f ca="1">IFERROR(MATCH(A253,OFFSET(Grades!$A$6,MATCH('Standard rates calculator'!$B$6,LIST,0),6,1,SUMIF(Grades!$A:$A,'Standard rates calculator'!$B$6,Grades!$F:$F)),0),"-")</f>
        <v>-</v>
      </c>
    </row>
    <row r="254" spans="1:40" ht="18.75" customHeight="1" x14ac:dyDescent="0.35">
      <c r="A254" s="11"/>
      <c r="B254" s="3"/>
      <c r="D254" s="3"/>
      <c r="E254" s="3"/>
      <c r="F254" s="5"/>
      <c r="AN254" s="22" t="str">
        <f ca="1">IFERROR(MATCH(A254,OFFSET(Grades!$A$6,MATCH('Standard rates calculator'!$B$6,LIST,0),6,1,SUMIF(Grades!$A:$A,'Standard rates calculator'!$B$6,Grades!$F:$F)),0),"-")</f>
        <v>-</v>
      </c>
    </row>
    <row r="255" spans="1:40" ht="18.75" customHeight="1" x14ac:dyDescent="0.35">
      <c r="A255" s="11"/>
      <c r="B255" s="3"/>
      <c r="D255" s="3"/>
      <c r="E255" s="3"/>
      <c r="F255" s="5"/>
      <c r="AN255" s="22" t="str">
        <f ca="1">IFERROR(MATCH(A255,OFFSET(Grades!$A$6,MATCH('Standard rates calculator'!$B$6,LIST,0),6,1,SUMIF(Grades!$A:$A,'Standard rates calculator'!$B$6,Grades!$F:$F)),0),"-")</f>
        <v>-</v>
      </c>
    </row>
    <row r="256" spans="1:40" ht="18.75" customHeight="1" x14ac:dyDescent="0.35">
      <c r="A256" s="11"/>
      <c r="B256" s="3"/>
      <c r="D256" s="3"/>
      <c r="E256" s="3"/>
      <c r="F256" s="5"/>
      <c r="AN256" s="22" t="str">
        <f ca="1">IFERROR(MATCH(A256,OFFSET(Grades!$A$6,MATCH('Standard rates calculator'!$B$6,LIST,0),6,1,SUMIF(Grades!$A:$A,'Standard rates calculator'!$B$6,Grades!$F:$F)),0),"-")</f>
        <v>-</v>
      </c>
    </row>
    <row r="257" spans="1:40" ht="18.75" customHeight="1" x14ac:dyDescent="0.35">
      <c r="A257" s="11"/>
      <c r="B257" s="3"/>
      <c r="D257" s="3"/>
      <c r="E257" s="3"/>
      <c r="F257" s="5"/>
      <c r="AN257" s="22" t="str">
        <f ca="1">IFERROR(MATCH(A257,OFFSET(Grades!$A$6,MATCH('Standard rates calculator'!$B$6,LIST,0),6,1,SUMIF(Grades!$A:$A,'Standard rates calculator'!$B$6,Grades!$F:$F)),0),"-")</f>
        <v>-</v>
      </c>
    </row>
    <row r="258" spans="1:40" ht="18.75" customHeight="1" x14ac:dyDescent="0.35">
      <c r="A258" s="11"/>
      <c r="B258" s="3"/>
      <c r="D258" s="3"/>
      <c r="E258" s="3"/>
      <c r="F258" s="5"/>
      <c r="AN258" s="22" t="str">
        <f ca="1">IFERROR(MATCH(A258,OFFSET(Grades!$A$6,MATCH('Standard rates calculator'!$B$6,LIST,0),6,1,SUMIF(Grades!$A:$A,'Standard rates calculator'!$B$6,Grades!$F:$F)),0),"-")</f>
        <v>-</v>
      </c>
    </row>
    <row r="259" spans="1:40" ht="18.75" customHeight="1" x14ac:dyDescent="0.35">
      <c r="A259" s="11"/>
      <c r="B259" s="3"/>
      <c r="D259" s="3"/>
      <c r="E259" s="3"/>
      <c r="F259" s="5"/>
      <c r="AN259" s="22" t="str">
        <f ca="1">IFERROR(MATCH(A259,OFFSET(Grades!$A$6,MATCH('Standard rates calculator'!$B$6,LIST,0),6,1,SUMIF(Grades!$A:$A,'Standard rates calculator'!$B$6,Grades!$F:$F)),0),"-")</f>
        <v>-</v>
      </c>
    </row>
    <row r="260" spans="1:40" ht="18.75" customHeight="1" x14ac:dyDescent="0.35">
      <c r="A260" s="11"/>
      <c r="B260" s="3"/>
      <c r="D260" s="3"/>
      <c r="E260" s="3"/>
      <c r="F260" s="5"/>
      <c r="AN260" s="22" t="str">
        <f ca="1">IFERROR(MATCH(A260,OFFSET(Grades!$A$6,MATCH('Standard rates calculator'!$B$6,LIST,0),6,1,SUMIF(Grades!$A:$A,'Standard rates calculator'!$B$6,Grades!$F:$F)),0),"-")</f>
        <v>-</v>
      </c>
    </row>
    <row r="261" spans="1:40" ht="18.75" customHeight="1" x14ac:dyDescent="0.35">
      <c r="A261" s="11"/>
      <c r="B261" s="3"/>
      <c r="D261" s="3"/>
      <c r="E261" s="3"/>
      <c r="F261" s="5"/>
      <c r="AN261" s="22" t="str">
        <f ca="1">IFERROR(MATCH(A261,OFFSET(Grades!$A$6,MATCH('Standard rates calculator'!$B$6,LIST,0),6,1,SUMIF(Grades!$A:$A,'Standard rates calculator'!$B$6,Grades!$F:$F)),0),"-")</f>
        <v>-</v>
      </c>
    </row>
    <row r="262" spans="1:40" ht="18.75" customHeight="1" x14ac:dyDescent="0.35">
      <c r="A262" s="11"/>
      <c r="B262" s="3"/>
      <c r="D262" s="3"/>
      <c r="E262" s="3"/>
      <c r="F262" s="5"/>
      <c r="AN262" s="22" t="str">
        <f ca="1">IFERROR(MATCH(A262,OFFSET(Grades!$A$6,MATCH('Standard rates calculator'!$B$6,LIST,0),6,1,SUMIF(Grades!$A:$A,'Standard rates calculator'!$B$6,Grades!$F:$F)),0),"-")</f>
        <v>-</v>
      </c>
    </row>
    <row r="263" spans="1:40" ht="18.75" customHeight="1" x14ac:dyDescent="0.35">
      <c r="A263" s="11"/>
      <c r="B263" s="3"/>
      <c r="D263" s="3"/>
      <c r="E263" s="3"/>
      <c r="F263" s="5"/>
      <c r="AN263" s="22" t="str">
        <f ca="1">IFERROR(MATCH(A263,OFFSET(Grades!$A$6,MATCH('Standard rates calculator'!$B$6,LIST,0),6,1,SUMIF(Grades!$A:$A,'Standard rates calculator'!$B$6,Grades!$F:$F)),0),"-")</f>
        <v>-</v>
      </c>
    </row>
    <row r="264" spans="1:40" x14ac:dyDescent="0.35">
      <c r="AN264" s="22" t="str">
        <f ca="1">IFERROR(MATCH(A264,OFFSET(Grades!$A$6,MATCH('Standard rates calculator'!$B$6,LIST,0),6,1,SUMIF(Grades!$A:$A,'Standard rates calculator'!$B$6,Grades!$F:$F)),0),"-")</f>
        <v>-</v>
      </c>
    </row>
    <row r="265" spans="1:40" x14ac:dyDescent="0.35">
      <c r="AN265" s="22" t="str">
        <f ca="1">IFERROR(MATCH(A265,OFFSET(Grades!$A$6,MATCH('Standard rates calculator'!$B$6,LIST,0),6,1,SUMIF(Grades!$A:$A,'Standard rates calculator'!$B$6,Grades!$F:$F)),0),"-")</f>
        <v>-</v>
      </c>
    </row>
    <row r="266" spans="1:40" x14ac:dyDescent="0.35">
      <c r="AN266" s="22" t="str">
        <f ca="1">IFERROR(MATCH(A266,OFFSET(Grades!$A$6,MATCH('Standard rates calculator'!$B$6,LIST,0),6,1,SUMIF(Grades!$A:$A,'Standard rates calculator'!$B$6,Grades!$F:$F)),0),"-")</f>
        <v>-</v>
      </c>
    </row>
    <row r="267" spans="1:40" x14ac:dyDescent="0.35">
      <c r="AN267" s="22" t="str">
        <f ca="1">IFERROR(MATCH(A267,OFFSET(Grades!$A$6,MATCH('Standard rates calculator'!$B$6,LIST,0),6,1,SUMIF(Grades!$A:$A,'Standard rates calculator'!$B$6,Grades!$F:$F)),0),"-")</f>
        <v>-</v>
      </c>
    </row>
    <row r="268" spans="1:40" x14ac:dyDescent="0.35">
      <c r="AN268" s="22" t="str">
        <f ca="1">IFERROR(MATCH(A268,OFFSET(Grades!$A$6,MATCH('Standard rates calculator'!$B$6,LIST,0),6,1,SUMIF(Grades!$A:$A,'Standard rates calculator'!$B$6,Grades!$F:$F)),0),"-")</f>
        <v>-</v>
      </c>
    </row>
  </sheetData>
  <customSheetViews>
    <customSheetView guid="{DC156EF3-60B9-4D72-83CB-66DF98F35EAF}" scale="85" showGridLines="0" state="hidden">
      <pane ySplit="3" topLeftCell="A4" activePane="bottomLeft" state="frozenSplit"/>
      <selection pane="bottomLeft" activeCell="F19" sqref="F19"/>
      <pageMargins left="0.23622047244094491" right="0.23622047244094491" top="0.55118110236220474" bottom="0.39370078740157483" header="0.31496062992125984" footer="0.31496062992125984"/>
      <printOptions horizontalCentered="1"/>
      <pageSetup paperSize="9" scale="65" orientation="portrait" r:id="rId1"/>
    </customSheetView>
  </customSheetViews>
  <mergeCells count="4">
    <mergeCell ref="D2:E2"/>
    <mergeCell ref="A2:B2"/>
    <mergeCell ref="C2:C3"/>
    <mergeCell ref="C6:C12"/>
  </mergeCells>
  <dataValidations count="1">
    <dataValidation type="list" showInputMessage="1" showErrorMessage="1" sqref="W2 AD2" xr:uid="{D209D2AB-7501-4321-980D-D988B05C8F7F}">
      <formula1>"Pre- pay award, Post- pay award"</formula1>
    </dataValidation>
  </dataValidations>
  <printOptions horizontalCentered="1"/>
  <pageMargins left="0.23622047244094491" right="0.23622047244094491" top="0.55118110236220474" bottom="0.39370078740157483" header="0.31496062992125984" footer="0.31496062992125984"/>
  <pageSetup paperSize="9" scale="65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/>
  </sheetPr>
  <dimension ref="B2:J17"/>
  <sheetViews>
    <sheetView showGridLines="0" zoomScale="130" zoomScaleNormal="130" workbookViewId="0">
      <selection activeCell="F19" sqref="F19"/>
    </sheetView>
  </sheetViews>
  <sheetFormatPr defaultColWidth="9.1796875" defaultRowHeight="14.5" x14ac:dyDescent="0.35"/>
  <cols>
    <col min="2" max="2" width="32.26953125" customWidth="1"/>
    <col min="3" max="3" width="34.26953125" style="14" bestFit="1" customWidth="1"/>
    <col min="4" max="4" width="15" customWidth="1"/>
    <col min="5" max="5" width="10" bestFit="1" customWidth="1"/>
    <col min="8" max="8" width="19.81640625" bestFit="1" customWidth="1"/>
    <col min="10" max="10" width="19.81640625" bestFit="1" customWidth="1"/>
  </cols>
  <sheetData>
    <row r="2" spans="2:10" x14ac:dyDescent="0.35">
      <c r="B2" s="13" t="s">
        <v>315</v>
      </c>
      <c r="C2" s="117">
        <v>2024</v>
      </c>
      <c r="D2" t="s">
        <v>316</v>
      </c>
    </row>
    <row r="3" spans="2:10" x14ac:dyDescent="0.35">
      <c r="C3" s="118"/>
    </row>
    <row r="4" spans="2:10" x14ac:dyDescent="0.35">
      <c r="B4" s="94" t="s">
        <v>317</v>
      </c>
      <c r="C4" s="117">
        <v>758</v>
      </c>
      <c r="D4" s="124" t="s">
        <v>318</v>
      </c>
    </row>
    <row r="5" spans="2:10" x14ac:dyDescent="0.35">
      <c r="B5" s="94" t="s">
        <v>319</v>
      </c>
      <c r="C5" s="126">
        <v>0</v>
      </c>
      <c r="D5" s="124" t="s">
        <v>320</v>
      </c>
    </row>
    <row r="6" spans="2:10" x14ac:dyDescent="0.35">
      <c r="B6" s="94" t="s">
        <v>321</v>
      </c>
      <c r="C6" s="127">
        <v>0.13800000000000001</v>
      </c>
      <c r="D6" s="125" t="s">
        <v>322</v>
      </c>
    </row>
    <row r="7" spans="2:10" x14ac:dyDescent="0.35">
      <c r="B7" s="94" t="s">
        <v>323</v>
      </c>
      <c r="C7" s="127">
        <v>0.13800000000000001</v>
      </c>
      <c r="D7" s="125" t="s">
        <v>324</v>
      </c>
    </row>
    <row r="9" spans="2:10" x14ac:dyDescent="0.35">
      <c r="B9" s="95" t="s">
        <v>179</v>
      </c>
      <c r="C9" s="17">
        <v>5.0000000000000001E-3</v>
      </c>
    </row>
    <row r="11" spans="2:10" x14ac:dyDescent="0.35">
      <c r="B11" s="13" t="s">
        <v>325</v>
      </c>
      <c r="C11" s="13"/>
      <c r="E11" s="13" t="s">
        <v>326</v>
      </c>
      <c r="F11" s="13"/>
      <c r="H11" s="13" t="s">
        <v>81</v>
      </c>
      <c r="J11" s="13" t="s">
        <v>327</v>
      </c>
    </row>
    <row r="12" spans="2:10" x14ac:dyDescent="0.35">
      <c r="B12" s="95" t="s">
        <v>212</v>
      </c>
      <c r="C12" s="16">
        <f>IF('Standard rates calculator'!$B$6="","",SUMIF(Grades!$A:$A,'Standard rates calculator'!$B$6,Grades!$BM:$BM))</f>
        <v>0</v>
      </c>
      <c r="D12" s="1"/>
      <c r="E12" s="96" t="s">
        <v>31</v>
      </c>
      <c r="F12" s="97">
        <v>0.14499999999999999</v>
      </c>
      <c r="H12" s="98" t="s">
        <v>226</v>
      </c>
      <c r="J12" s="98" t="s">
        <v>269</v>
      </c>
    </row>
    <row r="13" spans="2:10" x14ac:dyDescent="0.35">
      <c r="B13" s="96" t="s">
        <v>328</v>
      </c>
      <c r="C13" s="97">
        <v>23</v>
      </c>
      <c r="D13" s="1"/>
      <c r="E13" s="96" t="s">
        <v>33</v>
      </c>
      <c r="F13" s="142">
        <v>0.23699999999999999</v>
      </c>
      <c r="H13" s="98" t="s">
        <v>240</v>
      </c>
    </row>
    <row r="14" spans="2:10" x14ac:dyDescent="0.35">
      <c r="B14" s="95" t="s">
        <v>329</v>
      </c>
      <c r="C14" s="97">
        <v>30</v>
      </c>
      <c r="D14" s="1"/>
      <c r="E14" s="96" t="s">
        <v>35</v>
      </c>
      <c r="F14" s="142">
        <v>0.30599999999999999</v>
      </c>
      <c r="H14" s="98" t="s">
        <v>251</v>
      </c>
    </row>
    <row r="15" spans="2:10" x14ac:dyDescent="0.35">
      <c r="B15" s="95" t="s">
        <v>213</v>
      </c>
      <c r="C15" s="16">
        <f>IF('Standard rates calculator'!$B$6="","",SUMIF(Grades!$A:$A,'Standard rates calculator'!$B$6,Grades!$BN:$BN))</f>
        <v>0</v>
      </c>
      <c r="D15" s="1"/>
      <c r="E15" s="96" t="s">
        <v>37</v>
      </c>
      <c r="F15" s="97">
        <v>0.14000000000000001</v>
      </c>
    </row>
    <row r="17" spans="2:3" x14ac:dyDescent="0.35">
      <c r="B17" s="13" t="s">
        <v>330</v>
      </c>
      <c r="C17" s="117">
        <v>11.44</v>
      </c>
    </row>
  </sheetData>
  <customSheetViews>
    <customSheetView guid="{DC156EF3-60B9-4D72-83CB-66DF98F35EAF}" scale="130" showGridLines="0" state="hidden">
      <selection activeCell="F19" sqref="F19"/>
      <pageMargins left="0.7" right="0.7" top="0.75" bottom="0.75" header="0.3" footer="0.3"/>
      <pageSetup paperSize="9" orientation="portrait" r:id="rId1"/>
    </customSheetView>
  </customSheetViews>
  <phoneticPr fontId="5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6B4DA-086E-4D1F-9BE6-5E6FECC790B9}">
  <sheetPr codeName="Sheet12">
    <tabColor theme="4" tint="0.39997558519241921"/>
    <pageSetUpPr fitToPage="1"/>
  </sheetPr>
  <dimension ref="A1:Q28"/>
  <sheetViews>
    <sheetView showGridLines="0" zoomScaleNormal="100" zoomScaleSheetLayoutView="100" workbookViewId="0">
      <selection activeCell="K11" sqref="K11:L11"/>
    </sheetView>
  </sheetViews>
  <sheetFormatPr defaultColWidth="9.1796875" defaultRowHeight="14" x14ac:dyDescent="0.35"/>
  <cols>
    <col min="1" max="1" width="6.7265625" style="24" customWidth="1"/>
    <col min="2" max="2" width="9.7265625" style="24" customWidth="1"/>
    <col min="3" max="3" width="3.7265625" style="24" customWidth="1"/>
    <col min="4" max="4" width="10" style="24" bestFit="1" customWidth="1"/>
    <col min="5" max="6" width="9.7265625" style="24" customWidth="1"/>
    <col min="7" max="7" width="18.453125" style="24" bestFit="1" customWidth="1"/>
    <col min="8" max="8" width="9.1796875" style="24" customWidth="1"/>
    <col min="9" max="9" width="20.7265625" style="24" customWidth="1"/>
    <col min="10" max="10" width="18.453125" style="24" bestFit="1" customWidth="1"/>
    <col min="11" max="11" width="7.81640625" style="24" bestFit="1" customWidth="1"/>
    <col min="12" max="13" width="7.1796875" style="49" customWidth="1"/>
    <col min="14" max="14" width="3.7265625" style="24" customWidth="1"/>
    <col min="15" max="15" width="9.1796875" style="24"/>
    <col min="16" max="16" width="67.26953125" style="24" customWidth="1"/>
    <col min="17" max="16384" width="9.1796875" style="24"/>
  </cols>
  <sheetData>
    <row r="1" spans="1:17" ht="35" x14ac:dyDescent="0.35">
      <c r="A1" s="206"/>
      <c r="B1" s="317" t="s">
        <v>41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206"/>
      <c r="P1" s="135"/>
      <c r="Q1" s="206"/>
    </row>
    <row r="2" spans="1:17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8"/>
      <c r="M2" s="48"/>
      <c r="N2" s="35"/>
      <c r="O2" s="206"/>
      <c r="P2" s="206"/>
      <c r="Q2" s="206"/>
    </row>
    <row r="3" spans="1:17" ht="18" customHeight="1" x14ac:dyDescent="0.35">
      <c r="A3" s="206"/>
      <c r="B3" s="318" t="s">
        <v>42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206"/>
      <c r="P3" s="206"/>
      <c r="Q3" s="206"/>
    </row>
    <row r="4" spans="1:17" x14ac:dyDescent="0.35">
      <c r="A4" s="35"/>
      <c r="B4" s="20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06"/>
      <c r="P4" s="206"/>
      <c r="Q4" s="206"/>
    </row>
    <row r="5" spans="1:17" s="31" customFormat="1" ht="30" customHeight="1" x14ac:dyDescent="0.35">
      <c r="A5" s="207"/>
      <c r="B5" s="207"/>
      <c r="C5" s="207"/>
      <c r="D5" s="207"/>
      <c r="E5" s="207"/>
      <c r="F5" s="207"/>
      <c r="G5" s="207"/>
      <c r="H5" s="51" t="s">
        <v>43</v>
      </c>
      <c r="I5" s="51" t="s">
        <v>44</v>
      </c>
      <c r="J5" s="207"/>
      <c r="K5" s="207"/>
      <c r="L5" s="207"/>
      <c r="M5" s="207"/>
      <c r="N5" s="207"/>
      <c r="O5" s="207"/>
      <c r="P5" s="207"/>
      <c r="Q5" s="207"/>
    </row>
    <row r="6" spans="1:17" ht="24" customHeight="1" x14ac:dyDescent="0.35">
      <c r="A6" s="206"/>
      <c r="B6" s="320" t="s">
        <v>45</v>
      </c>
      <c r="C6" s="208"/>
      <c r="D6" s="209"/>
      <c r="E6" s="323" t="s">
        <v>46</v>
      </c>
      <c r="F6" s="209"/>
      <c r="G6" s="210"/>
      <c r="H6" s="128">
        <v>10</v>
      </c>
      <c r="I6" s="143">
        <f>SUMIF('Points Lookup'!$D:$D,H6,'Points Lookup'!$B:$B)</f>
        <v>23563</v>
      </c>
      <c r="J6" s="264"/>
      <c r="K6" s="325" t="s">
        <v>47</v>
      </c>
      <c r="L6" s="326" t="s">
        <v>48</v>
      </c>
      <c r="M6" s="327" t="s">
        <v>49</v>
      </c>
      <c r="N6" s="211"/>
      <c r="O6" s="206"/>
      <c r="P6" s="206"/>
      <c r="Q6" s="212"/>
    </row>
    <row r="7" spans="1:17" ht="28" x14ac:dyDescent="0.35">
      <c r="A7" s="206"/>
      <c r="B7" s="321"/>
      <c r="C7" s="213"/>
      <c r="D7" s="206"/>
      <c r="E7" s="324"/>
      <c r="F7" s="214"/>
      <c r="G7" s="215"/>
      <c r="H7" s="128">
        <v>11</v>
      </c>
      <c r="I7" s="143">
        <f>SUMIF('Points Lookup'!$D:$D,H7,'Points Lookup'!$B:$B)</f>
        <v>23946</v>
      </c>
      <c r="J7" s="47" t="s">
        <v>50</v>
      </c>
      <c r="K7" s="325"/>
      <c r="L7" s="326"/>
      <c r="M7" s="327"/>
      <c r="N7" s="211"/>
      <c r="O7" s="206"/>
      <c r="P7" s="206"/>
      <c r="Q7" s="206"/>
    </row>
    <row r="8" spans="1:17" ht="24" customHeight="1" x14ac:dyDescent="0.35">
      <c r="A8" s="206"/>
      <c r="B8" s="321"/>
      <c r="C8" s="213"/>
      <c r="D8" s="206"/>
      <c r="E8" s="206"/>
      <c r="F8" s="206"/>
      <c r="G8" s="216"/>
      <c r="H8" s="128">
        <v>12</v>
      </c>
      <c r="I8" s="143">
        <f>SUMIF('Points Lookup'!$D:$D,H8,'Points Lookup'!$B:$B)</f>
        <v>24263</v>
      </c>
      <c r="J8" s="223"/>
      <c r="K8" s="325"/>
      <c r="L8" s="326"/>
      <c r="M8" s="327"/>
      <c r="N8" s="211"/>
      <c r="O8" s="206"/>
      <c r="P8" s="206"/>
      <c r="Q8" s="206"/>
    </row>
    <row r="9" spans="1:17" ht="30" customHeight="1" x14ac:dyDescent="0.35">
      <c r="A9" s="206"/>
      <c r="B9" s="321"/>
      <c r="C9" s="213"/>
      <c r="D9" s="328" t="s">
        <v>51</v>
      </c>
      <c r="E9" s="331" t="s">
        <v>52</v>
      </c>
      <c r="F9" s="334" t="s">
        <v>53</v>
      </c>
      <c r="G9" s="210"/>
      <c r="H9" s="128">
        <v>13</v>
      </c>
      <c r="I9" s="143">
        <f>SUMIF('Points Lookup'!$D:$D,H9,'Points Lookup'!$B:$B)</f>
        <v>24727</v>
      </c>
      <c r="J9" s="263"/>
      <c r="K9" s="206"/>
      <c r="L9" s="206"/>
      <c r="M9" s="206"/>
      <c r="N9" s="206"/>
      <c r="O9" s="206"/>
      <c r="P9" s="206"/>
      <c r="Q9" s="206"/>
    </row>
    <row r="10" spans="1:17" ht="24" customHeight="1" x14ac:dyDescent="0.35">
      <c r="A10" s="206"/>
      <c r="B10" s="321"/>
      <c r="C10" s="213"/>
      <c r="D10" s="329"/>
      <c r="E10" s="332"/>
      <c r="F10" s="335"/>
      <c r="G10" s="216"/>
      <c r="H10" s="128">
        <v>14</v>
      </c>
      <c r="I10" s="143">
        <f>SUMIF('Points Lookup'!$D:$D,H10,'Points Lookup'!$B:$B)</f>
        <v>25239</v>
      </c>
      <c r="J10" s="206"/>
      <c r="K10" s="206"/>
      <c r="L10" s="206"/>
      <c r="M10" s="206"/>
      <c r="N10" s="206"/>
      <c r="O10" s="206"/>
      <c r="P10" s="206"/>
      <c r="Q10" s="206"/>
    </row>
    <row r="11" spans="1:17" ht="24" customHeight="1" x14ac:dyDescent="0.35">
      <c r="A11" s="206"/>
      <c r="B11" s="321"/>
      <c r="C11" s="213"/>
      <c r="D11" s="329"/>
      <c r="E11" s="332"/>
      <c r="F11" s="335"/>
      <c r="G11" s="206"/>
      <c r="H11" s="128">
        <v>15</v>
      </c>
      <c r="I11" s="143">
        <f>SUMIF('Points Lookup'!$D:$D,H11,'Points Lookup'!$B:$B)</f>
        <v>25714</v>
      </c>
      <c r="J11" s="206"/>
      <c r="K11" s="206"/>
      <c r="L11" s="206"/>
      <c r="M11" s="206"/>
      <c r="N11" s="206"/>
      <c r="O11" s="206"/>
      <c r="P11" s="206"/>
      <c r="Q11" s="206"/>
    </row>
    <row r="12" spans="1:17" ht="24" customHeight="1" x14ac:dyDescent="0.35">
      <c r="A12" s="206"/>
      <c r="B12" s="321"/>
      <c r="C12" s="213"/>
      <c r="D12" s="329"/>
      <c r="E12" s="332"/>
      <c r="F12" s="335"/>
      <c r="G12" s="216"/>
      <c r="H12" s="128">
        <v>16</v>
      </c>
      <c r="I12" s="143">
        <f>SUMIF('Points Lookup'!$D:$D,H12,'Points Lookup'!$B:$B)</f>
        <v>26349</v>
      </c>
      <c r="J12" s="206"/>
      <c r="K12" s="206"/>
      <c r="L12" s="206"/>
      <c r="M12" s="206"/>
      <c r="N12" s="206"/>
      <c r="O12" s="206"/>
      <c r="P12" s="206"/>
      <c r="Q12" s="206"/>
    </row>
    <row r="13" spans="1:17" ht="24" customHeight="1" x14ac:dyDescent="0.35">
      <c r="A13" s="206"/>
      <c r="B13" s="321"/>
      <c r="C13" s="213"/>
      <c r="D13" s="329"/>
      <c r="E13" s="332"/>
      <c r="F13" s="335"/>
      <c r="G13" s="216"/>
      <c r="H13" s="128">
        <v>17</v>
      </c>
      <c r="I13" s="143">
        <f>SUMIF('Points Lookup'!$D:$D,H13,'Points Lookup'!$B:$B)</f>
        <v>26983</v>
      </c>
      <c r="J13" s="206"/>
      <c r="K13" s="206"/>
      <c r="L13" s="206"/>
      <c r="M13" s="206"/>
      <c r="N13" s="206"/>
      <c r="O13" s="206"/>
      <c r="P13" s="206"/>
      <c r="Q13" s="206"/>
    </row>
    <row r="14" spans="1:17" ht="30" customHeight="1" x14ac:dyDescent="0.35">
      <c r="A14" s="206"/>
      <c r="B14" s="321"/>
      <c r="C14" s="213"/>
      <c r="D14" s="329"/>
      <c r="E14" s="332"/>
      <c r="F14" s="335"/>
      <c r="G14" s="47" t="s">
        <v>54</v>
      </c>
      <c r="H14" s="128">
        <v>18</v>
      </c>
      <c r="I14" s="143">
        <f>SUMIF('Points Lookup'!$D:$D,H14,'Points Lookup'!$B:$B)</f>
        <v>27720</v>
      </c>
      <c r="J14" s="206"/>
      <c r="K14" s="206"/>
      <c r="L14" s="217"/>
      <c r="M14" s="217"/>
      <c r="N14" s="34"/>
      <c r="O14" s="206"/>
      <c r="P14" s="206"/>
      <c r="Q14" s="206"/>
    </row>
    <row r="15" spans="1:17" ht="24" customHeight="1" x14ac:dyDescent="0.35">
      <c r="A15" s="206"/>
      <c r="B15" s="321"/>
      <c r="C15" s="213"/>
      <c r="D15" s="329"/>
      <c r="E15" s="332"/>
      <c r="F15" s="335"/>
      <c r="G15" s="216"/>
      <c r="H15" s="128">
        <v>19</v>
      </c>
      <c r="I15" s="143">
        <f>SUMIF('Points Lookup'!$D:$D,H15,'Points Lookup'!$B:$B)</f>
        <v>28491</v>
      </c>
      <c r="J15" s="267"/>
      <c r="K15" s="206"/>
      <c r="L15" s="217"/>
      <c r="M15" s="217"/>
      <c r="N15" s="34"/>
      <c r="O15" s="206"/>
      <c r="P15" s="206"/>
      <c r="Q15" s="206"/>
    </row>
    <row r="16" spans="1:17" ht="30" customHeight="1" x14ac:dyDescent="0.35">
      <c r="A16" s="206"/>
      <c r="B16" s="321"/>
      <c r="C16" s="213"/>
      <c r="D16" s="329"/>
      <c r="E16" s="332"/>
      <c r="F16" s="335"/>
      <c r="G16" s="216"/>
      <c r="H16" s="128">
        <v>20</v>
      </c>
      <c r="I16" s="143">
        <f>SUMIF('Points Lookup'!$D:$D,H16,'Points Lookup'!$B:$B)</f>
        <v>29329</v>
      </c>
      <c r="J16" s="288"/>
      <c r="K16" s="325" t="s">
        <v>55</v>
      </c>
      <c r="L16" s="331" t="s">
        <v>56</v>
      </c>
      <c r="M16" s="328" t="s">
        <v>57</v>
      </c>
      <c r="N16" s="34"/>
      <c r="O16" s="206"/>
      <c r="P16" s="206"/>
      <c r="Q16" s="206"/>
    </row>
    <row r="17" spans="2:14" ht="24" customHeight="1" x14ac:dyDescent="0.35">
      <c r="B17" s="322"/>
      <c r="C17" s="218"/>
      <c r="D17" s="330"/>
      <c r="E17" s="333"/>
      <c r="F17" s="336"/>
      <c r="G17" s="215"/>
      <c r="H17" s="128">
        <v>21</v>
      </c>
      <c r="I17" s="143">
        <f>SUMIF('Points Lookup'!$D:$D,H17,'Points Lookup'!$B:$B)</f>
        <v>30146</v>
      </c>
      <c r="J17" s="229"/>
      <c r="K17" s="325"/>
      <c r="L17" s="332"/>
      <c r="M17" s="329"/>
      <c r="N17" s="34"/>
    </row>
    <row r="18" spans="2:14" ht="24" customHeight="1" x14ac:dyDescent="0.35">
      <c r="B18" s="206"/>
      <c r="C18" s="206"/>
      <c r="D18" s="206"/>
      <c r="E18" s="206"/>
      <c r="F18" s="206"/>
      <c r="G18" s="206"/>
      <c r="H18" s="128">
        <v>22</v>
      </c>
      <c r="I18" s="143">
        <f>SUMIF('Points Lookup'!$D:$D,H18,'Points Lookup'!$B:$B)</f>
        <v>31033</v>
      </c>
      <c r="J18" s="289"/>
      <c r="K18" s="325"/>
      <c r="L18" s="332"/>
      <c r="M18" s="329"/>
      <c r="N18" s="34"/>
    </row>
    <row r="19" spans="2:14" ht="24" customHeight="1" x14ac:dyDescent="0.35">
      <c r="B19" s="206"/>
      <c r="C19" s="206"/>
      <c r="D19" s="206"/>
      <c r="E19" s="206"/>
      <c r="F19" s="206"/>
      <c r="G19" s="206"/>
      <c r="H19" s="128">
        <v>23</v>
      </c>
      <c r="I19" s="143">
        <f>SUMIF('Points Lookup'!$D:$D,H19,'Points Lookup'!$B:$B)</f>
        <v>31958</v>
      </c>
      <c r="J19" s="289"/>
      <c r="K19" s="325"/>
      <c r="L19" s="332"/>
      <c r="M19" s="329"/>
      <c r="N19" s="34"/>
    </row>
    <row r="20" spans="2:14" ht="24" customHeight="1" x14ac:dyDescent="0.35">
      <c r="B20" s="206"/>
      <c r="C20" s="206"/>
      <c r="D20" s="206"/>
      <c r="E20" s="206"/>
      <c r="F20" s="206"/>
      <c r="G20" s="206"/>
      <c r="H20" s="128">
        <v>24</v>
      </c>
      <c r="I20" s="143">
        <f>SUMIF('Points Lookup'!$D:$D,H20,'Points Lookup'!$B:$B)</f>
        <v>32911</v>
      </c>
      <c r="J20" s="213"/>
      <c r="K20" s="325"/>
      <c r="L20" s="332"/>
      <c r="M20" s="329"/>
      <c r="N20" s="34"/>
    </row>
    <row r="21" spans="2:14" ht="24" customHeight="1" x14ac:dyDescent="0.35">
      <c r="B21" s="206"/>
      <c r="C21" s="206"/>
      <c r="D21" s="206"/>
      <c r="E21" s="206"/>
      <c r="F21" s="206"/>
      <c r="G21" s="206"/>
      <c r="H21" s="128">
        <v>25</v>
      </c>
      <c r="I21" s="143">
        <f>SUMIF('Points Lookup'!$D:$D,H21,'Points Lookup'!$B:$B)</f>
        <v>33892</v>
      </c>
      <c r="J21" s="213"/>
      <c r="K21" s="325"/>
      <c r="L21" s="332"/>
      <c r="M21" s="329"/>
      <c r="N21" s="34"/>
    </row>
    <row r="22" spans="2:14" ht="24" customHeight="1" x14ac:dyDescent="0.35">
      <c r="B22" s="206"/>
      <c r="C22" s="206"/>
      <c r="D22" s="206"/>
      <c r="E22" s="206"/>
      <c r="F22" s="206"/>
      <c r="G22" s="206"/>
      <c r="H22" s="128">
        <v>26</v>
      </c>
      <c r="I22" s="143">
        <f>SUMIF('Points Lookup'!$D:$D,H22,'Points Lookup'!$B:$B)</f>
        <v>34901</v>
      </c>
      <c r="J22" s="182"/>
      <c r="K22" s="325"/>
      <c r="L22" s="332"/>
      <c r="M22" s="329"/>
      <c r="N22" s="34"/>
    </row>
    <row r="23" spans="2:14" ht="30" customHeight="1" x14ac:dyDescent="0.35">
      <c r="B23" s="206"/>
      <c r="C23" s="206"/>
      <c r="D23" s="206"/>
      <c r="E23" s="206"/>
      <c r="F23" s="206"/>
      <c r="G23" s="206"/>
      <c r="H23" s="128">
        <v>27</v>
      </c>
      <c r="I23" s="143">
        <f>SUMIF('Points Lookup'!$D:$D,H23,'Points Lookup'!$B:$B)</f>
        <v>35943</v>
      </c>
      <c r="J23" s="290" t="s">
        <v>58</v>
      </c>
      <c r="K23" s="325"/>
      <c r="L23" s="332"/>
      <c r="M23" s="329"/>
      <c r="N23" s="34"/>
    </row>
    <row r="24" spans="2:14" ht="24" customHeight="1" x14ac:dyDescent="0.35">
      <c r="B24" s="206"/>
      <c r="C24" s="206"/>
      <c r="D24" s="206"/>
      <c r="E24" s="206"/>
      <c r="F24" s="206"/>
      <c r="G24" s="206"/>
      <c r="H24" s="128">
        <v>28</v>
      </c>
      <c r="I24" s="143">
        <f>SUMIF('Points Lookup'!$D:$D,H24,'Points Lookup'!$B:$B)</f>
        <v>37016</v>
      </c>
      <c r="J24" s="213"/>
      <c r="K24" s="325"/>
      <c r="L24" s="332"/>
      <c r="M24" s="329"/>
      <c r="N24" s="34"/>
    </row>
    <row r="25" spans="2:14" ht="24" customHeight="1" x14ac:dyDescent="0.35">
      <c r="B25" s="206"/>
      <c r="C25" s="206"/>
      <c r="D25" s="206"/>
      <c r="E25" s="206"/>
      <c r="F25" s="206"/>
      <c r="G25" s="206"/>
      <c r="H25" s="128">
        <v>29</v>
      </c>
      <c r="I25" s="143">
        <f>SUMIF('Points Lookup'!$D:$D,H25,'Points Lookup'!$B:$B)</f>
        <v>38121</v>
      </c>
      <c r="J25" s="213"/>
      <c r="K25" s="325"/>
      <c r="L25" s="332"/>
      <c r="M25" s="329"/>
      <c r="N25" s="34"/>
    </row>
    <row r="26" spans="2:14" ht="24" customHeight="1" x14ac:dyDescent="0.35">
      <c r="B26" s="206"/>
      <c r="C26" s="206"/>
      <c r="D26" s="206"/>
      <c r="E26" s="206"/>
      <c r="F26" s="206"/>
      <c r="G26" s="206"/>
      <c r="H26" s="128">
        <v>30</v>
      </c>
      <c r="I26" s="143">
        <f>SUMIF('Points Lookup'!$D:$D,H26,'Points Lookup'!$B:$B)</f>
        <v>39260</v>
      </c>
      <c r="J26" s="218"/>
      <c r="K26" s="325"/>
      <c r="L26" s="333"/>
      <c r="M26" s="330"/>
      <c r="N26" s="34"/>
    </row>
    <row r="27" spans="2:14" ht="48.75" customHeight="1" x14ac:dyDescent="0.35">
      <c r="B27" s="319" t="str">
        <f>"Effective date of pay award: "&amp;IF('Contents &amp; version control'!$D$22='Contents &amp; version control'!$D$24,TEXT('Contents &amp; version control'!$D$22,"D MMMM YYYY")&amp;".",TEXT('Contents &amp; version control'!$D$22,"D MMMM YYYY")&amp;" (Unison represented staff: "&amp;'Contents &amp; version control'!$C$22&amp;"), "&amp;TEXT('Contents &amp; version control'!$D$24,"D MMMM YYYY")&amp;" (Unite represented staff: "&amp;'Contents &amp; version control'!$C$24&amp;").")</f>
        <v>Effective date of pay award: 1 November 2024.</v>
      </c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</row>
    <row r="28" spans="2:14" ht="33" customHeight="1" x14ac:dyDescent="0.35">
      <c r="B28" s="319" t="str">
        <f>"Document version: "&amp;'Contents &amp; version control'!$B$18</f>
        <v>Document version: 2024.4</v>
      </c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</row>
  </sheetData>
  <sheetProtection algorithmName="SHA-512" hashValue="TN3jz21MYLRF9gi/aQGnlEl1ea0RId9dAub7qHB1cPdNBKkaV8vtkJq2eXflNaU0u446RepiqoL0nP4nc6ZIxQ==" saltValue="7+e2SC+aL4hwtdZt+jl8Dg==" spinCount="100000" sheet="1" objects="1" scenarios="1"/>
  <customSheetViews>
    <customSheetView guid="{DC156EF3-60B9-4D72-83CB-66DF98F35EAF}" showGridLines="0" fitToPage="1">
      <selection activeCell="I12" sqref="I12"/>
      <pageMargins left="0.23622047244094491" right="0.23622047244094491" top="0.74803149606299213" bottom="0.74803149606299213" header="0.31496062992125984" footer="0.31496062992125984"/>
      <printOptions horizontalCentered="1"/>
      <pageSetup paperSize="9" scale="68" fitToHeight="0" orientation="portrait" r:id="rId1"/>
    </customSheetView>
  </customSheetViews>
  <mergeCells count="15">
    <mergeCell ref="B1:N1"/>
    <mergeCell ref="B3:N3"/>
    <mergeCell ref="B27:N27"/>
    <mergeCell ref="B28:N28"/>
    <mergeCell ref="B6:B17"/>
    <mergeCell ref="E6:E7"/>
    <mergeCell ref="K6:K8"/>
    <mergeCell ref="L6:L8"/>
    <mergeCell ref="M6:M8"/>
    <mergeCell ref="D9:D17"/>
    <mergeCell ref="E9:E17"/>
    <mergeCell ref="F9:F17"/>
    <mergeCell ref="K16:K26"/>
    <mergeCell ref="L16:L26"/>
    <mergeCell ref="M16:M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904D6-BFA2-4BFF-B08A-957920607149}">
  <sheetPr codeName="Sheet8">
    <tabColor theme="4" tint="0.39997558519241921"/>
    <pageSetUpPr fitToPage="1"/>
  </sheetPr>
  <dimension ref="B1:T39"/>
  <sheetViews>
    <sheetView showGridLines="0" topLeftCell="A20" zoomScaleNormal="100" zoomScaleSheetLayoutView="100" workbookViewId="0">
      <selection activeCell="C24" sqref="C24"/>
    </sheetView>
  </sheetViews>
  <sheetFormatPr defaultColWidth="9.1796875" defaultRowHeight="13.5" x14ac:dyDescent="0.3"/>
  <cols>
    <col min="1" max="1" width="6.7265625" style="23" customWidth="1"/>
    <col min="2" max="2" width="13.453125" style="23" customWidth="1"/>
    <col min="3" max="3" width="16.26953125" style="23" customWidth="1"/>
    <col min="4" max="4" width="14.54296875" style="23" customWidth="1"/>
    <col min="5" max="8" width="14" style="23" bestFit="1" customWidth="1"/>
    <col min="9" max="16384" width="9.1796875" style="23"/>
  </cols>
  <sheetData>
    <row r="1" spans="2:8" ht="30" x14ac:dyDescent="0.3">
      <c r="B1" s="62" t="s">
        <v>59</v>
      </c>
      <c r="C1" s="62"/>
      <c r="D1" s="62"/>
      <c r="E1" s="62"/>
    </row>
    <row r="2" spans="2:8" ht="14" x14ac:dyDescent="0.3">
      <c r="B2" s="206"/>
      <c r="C2" s="219"/>
      <c r="D2" s="206"/>
      <c r="E2" s="206"/>
    </row>
    <row r="3" spans="2:8" ht="17.5" x14ac:dyDescent="0.3">
      <c r="B3" s="348" t="s">
        <v>60</v>
      </c>
      <c r="C3" s="348"/>
      <c r="D3" s="348"/>
      <c r="E3" s="348"/>
      <c r="F3" s="348"/>
      <c r="G3" s="348"/>
      <c r="H3" s="348"/>
    </row>
    <row r="4" spans="2:8" ht="25.5" customHeight="1" x14ac:dyDescent="0.3">
      <c r="B4" s="347" t="s">
        <v>61</v>
      </c>
      <c r="C4" s="347"/>
      <c r="D4" s="347"/>
      <c r="E4" s="347"/>
      <c r="F4" s="347"/>
      <c r="G4" s="347"/>
      <c r="H4" s="347"/>
    </row>
    <row r="5" spans="2:8" ht="35.15" customHeight="1" x14ac:dyDescent="0.3"/>
    <row r="6" spans="2:8" ht="18" customHeight="1" x14ac:dyDescent="0.4">
      <c r="B6" s="162" t="s">
        <v>62</v>
      </c>
      <c r="C6" s="159"/>
      <c r="D6" s="159"/>
      <c r="E6" s="159"/>
    </row>
    <row r="8" spans="2:8" x14ac:dyDescent="0.3">
      <c r="B8" s="23" t="s">
        <v>63</v>
      </c>
    </row>
    <row r="9" spans="2:8" ht="14" x14ac:dyDescent="0.3">
      <c r="B9" s="160" t="s">
        <v>64</v>
      </c>
    </row>
    <row r="11" spans="2:8" ht="35.15" customHeight="1" x14ac:dyDescent="0.3">
      <c r="B11" s="45" t="s">
        <v>65</v>
      </c>
      <c r="C11" s="45" t="s">
        <v>66</v>
      </c>
      <c r="D11" s="46" t="s">
        <v>67</v>
      </c>
      <c r="E11" s="358" t="s">
        <v>68</v>
      </c>
      <c r="F11" s="359"/>
      <c r="G11" s="360"/>
    </row>
    <row r="12" spans="2:8" ht="25" customHeight="1" x14ac:dyDescent="0.3">
      <c r="B12" s="158" t="s">
        <v>69</v>
      </c>
      <c r="C12" s="26">
        <v>2</v>
      </c>
      <c r="D12" s="133" t="s">
        <v>70</v>
      </c>
      <c r="E12" s="361" t="s">
        <v>71</v>
      </c>
      <c r="F12" s="362"/>
      <c r="G12" s="363"/>
    </row>
    <row r="13" spans="2:8" ht="25" customHeight="1" x14ac:dyDescent="0.3">
      <c r="B13" s="158" t="s">
        <v>72</v>
      </c>
      <c r="C13" s="26">
        <v>3</v>
      </c>
      <c r="D13" s="133" t="s">
        <v>73</v>
      </c>
      <c r="E13" s="361" t="s">
        <v>74</v>
      </c>
      <c r="F13" s="362"/>
      <c r="G13" s="363"/>
    </row>
    <row r="14" spans="2:8" ht="25" customHeight="1" x14ac:dyDescent="0.3">
      <c r="B14" s="158" t="s">
        <v>75</v>
      </c>
      <c r="C14" s="26">
        <v>4</v>
      </c>
      <c r="D14" s="355" t="s">
        <v>76</v>
      </c>
      <c r="E14" s="364" t="s">
        <v>77</v>
      </c>
      <c r="F14" s="365"/>
      <c r="G14" s="366"/>
    </row>
    <row r="15" spans="2:8" ht="25" customHeight="1" x14ac:dyDescent="0.3">
      <c r="B15" s="158" t="s">
        <v>78</v>
      </c>
      <c r="C15" s="26">
        <v>5</v>
      </c>
      <c r="D15" s="356"/>
      <c r="E15" s="367"/>
      <c r="F15" s="368"/>
      <c r="G15" s="369"/>
    </row>
    <row r="16" spans="2:8" ht="25" customHeight="1" x14ac:dyDescent="0.3">
      <c r="B16" s="158" t="s">
        <v>79</v>
      </c>
      <c r="C16" s="26">
        <v>6</v>
      </c>
      <c r="D16" s="356"/>
      <c r="E16" s="367"/>
      <c r="F16" s="368"/>
      <c r="G16" s="369"/>
    </row>
    <row r="17" spans="2:8" ht="25" customHeight="1" x14ac:dyDescent="0.3">
      <c r="B17" s="158" t="s">
        <v>80</v>
      </c>
      <c r="C17" s="26">
        <v>7</v>
      </c>
      <c r="D17" s="357"/>
      <c r="E17" s="370"/>
      <c r="F17" s="371"/>
      <c r="G17" s="372"/>
    </row>
    <row r="18" spans="2:8" ht="35.15" customHeight="1" x14ac:dyDescent="0.3"/>
    <row r="19" spans="2:8" ht="18" customHeight="1" x14ac:dyDescent="0.4">
      <c r="B19" s="162" t="s">
        <v>81</v>
      </c>
      <c r="C19" s="159"/>
      <c r="D19" s="159"/>
      <c r="E19" s="159"/>
    </row>
    <row r="20" spans="2:8" ht="17.5" x14ac:dyDescent="0.35">
      <c r="B20" s="159"/>
      <c r="C20" s="159"/>
      <c r="D20" s="159"/>
      <c r="E20" s="159"/>
    </row>
    <row r="21" spans="2:8" x14ac:dyDescent="0.3">
      <c r="B21" s="23" t="s">
        <v>82</v>
      </c>
    </row>
    <row r="22" spans="2:8" s="33" customFormat="1" x14ac:dyDescent="0.35"/>
    <row r="23" spans="2:8" s="33" customFormat="1" ht="35.15" customHeight="1" x14ac:dyDescent="0.35">
      <c r="B23" s="146" t="s">
        <v>43</v>
      </c>
      <c r="C23" s="146" t="s">
        <v>44</v>
      </c>
    </row>
    <row r="24" spans="2:8" s="33" customFormat="1" ht="35.15" customHeight="1" x14ac:dyDescent="0.35">
      <c r="B24" s="128">
        <v>10</v>
      </c>
      <c r="C24" s="143">
        <f>SUMIF('Points Lookup'!$D:$D,B24,'Points Lookup'!$B:$B)</f>
        <v>23563</v>
      </c>
      <c r="D24" s="133"/>
      <c r="E24" s="161" t="s">
        <v>69</v>
      </c>
      <c r="F24" s="338" t="s">
        <v>72</v>
      </c>
    </row>
    <row r="25" spans="2:8" s="33" customFormat="1" ht="35.15" customHeight="1" x14ac:dyDescent="0.35">
      <c r="B25" s="128">
        <v>11</v>
      </c>
      <c r="C25" s="143">
        <f>SUMIF('Points Lookup'!$D:$D,B25,'Points Lookup'!$B:$B)</f>
        <v>23946</v>
      </c>
      <c r="D25" s="147"/>
      <c r="E25" s="148"/>
      <c r="F25" s="339"/>
    </row>
    <row r="26" spans="2:8" s="33" customFormat="1" ht="35.15" customHeight="1" x14ac:dyDescent="0.35">
      <c r="B26" s="277">
        <v>12</v>
      </c>
      <c r="C26" s="278">
        <f>SUMIF('Points Lookup'!$D:$D,B26,'Points Lookup'!$B:$B)</f>
        <v>24263</v>
      </c>
    </row>
    <row r="27" spans="2:8" s="33" customFormat="1" ht="35.15" customHeight="1" x14ac:dyDescent="0.35">
      <c r="B27" s="128">
        <v>13</v>
      </c>
      <c r="C27" s="143">
        <f>SUMIF('Points Lookup'!$D:$D,B27,'Points Lookup'!$B:$B)</f>
        <v>24727</v>
      </c>
      <c r="D27" s="141"/>
      <c r="E27" s="340" t="s">
        <v>75</v>
      </c>
      <c r="F27" s="149"/>
    </row>
    <row r="28" spans="2:8" s="33" customFormat="1" ht="35.15" customHeight="1" x14ac:dyDescent="0.35">
      <c r="B28" s="128">
        <v>14</v>
      </c>
      <c r="C28" s="143">
        <f>SUMIF('Points Lookup'!$D:$D,B28,'Points Lookup'!$B:$B)</f>
        <v>25239</v>
      </c>
      <c r="D28" s="151"/>
      <c r="E28" s="341"/>
      <c r="F28" s="343" t="s">
        <v>78</v>
      </c>
    </row>
    <row r="29" spans="2:8" s="33" customFormat="1" ht="35.15" customHeight="1" x14ac:dyDescent="0.35">
      <c r="B29" s="128">
        <v>15</v>
      </c>
      <c r="C29" s="143">
        <f>SUMIF('Points Lookup'!$D:$D,B29,'Points Lookup'!$B:$B)</f>
        <v>25714</v>
      </c>
      <c r="D29" s="150"/>
      <c r="E29" s="341"/>
      <c r="F29" s="344"/>
    </row>
    <row r="30" spans="2:8" s="33" customFormat="1" ht="35.15" customHeight="1" x14ac:dyDescent="0.35">
      <c r="B30" s="128">
        <v>16</v>
      </c>
      <c r="C30" s="143">
        <f>SUMIF('Points Lookup'!$D:$D,B30,'Points Lookup'!$B:$B)</f>
        <v>26349</v>
      </c>
      <c r="D30" s="154"/>
      <c r="E30" s="342"/>
      <c r="F30" s="345"/>
      <c r="G30" s="349" t="s">
        <v>79</v>
      </c>
    </row>
    <row r="31" spans="2:8" s="33" customFormat="1" ht="35.15" customHeight="1" x14ac:dyDescent="0.35">
      <c r="B31" s="128">
        <v>17</v>
      </c>
      <c r="C31" s="143">
        <f>SUMIF('Points Lookup'!$D:$D,B31,'Points Lookup'!$B:$B)</f>
        <v>26983</v>
      </c>
      <c r="D31" s="152"/>
      <c r="E31" s="153"/>
      <c r="F31" s="346"/>
      <c r="G31" s="350"/>
      <c r="H31" s="352" t="s">
        <v>80</v>
      </c>
    </row>
    <row r="32" spans="2:8" s="33" customFormat="1" ht="35.15" customHeight="1" x14ac:dyDescent="0.35">
      <c r="B32" s="128">
        <v>18</v>
      </c>
      <c r="C32" s="143">
        <f>SUMIF('Points Lookup'!$D:$D,B32,'Points Lookup'!$B:$B)</f>
        <v>27720</v>
      </c>
      <c r="G32" s="350"/>
      <c r="H32" s="353"/>
    </row>
    <row r="33" spans="2:20" s="33" customFormat="1" ht="35.15" customHeight="1" x14ac:dyDescent="0.35">
      <c r="B33" s="128">
        <v>19</v>
      </c>
      <c r="C33" s="143">
        <f>SUMIF('Points Lookup'!$D:$D,B33,'Points Lookup'!$B:$B)</f>
        <v>28491</v>
      </c>
      <c r="G33" s="350"/>
      <c r="H33" s="353"/>
    </row>
    <row r="34" spans="2:20" s="33" customFormat="1" ht="35.15" customHeight="1" x14ac:dyDescent="0.35">
      <c r="B34" s="128">
        <v>20</v>
      </c>
      <c r="C34" s="143">
        <f>SUMIF('Points Lookup'!$D:$D,B34,'Points Lookup'!$B:$B)</f>
        <v>29329</v>
      </c>
      <c r="G34" s="351"/>
      <c r="H34" s="353"/>
    </row>
    <row r="35" spans="2:20" s="33" customFormat="1" ht="35.15" customHeight="1" x14ac:dyDescent="0.35">
      <c r="B35" s="128">
        <v>21</v>
      </c>
      <c r="C35" s="143">
        <f>SUMIF('Points Lookup'!$D:$D,B35,'Points Lookup'!$B:$B)</f>
        <v>30146</v>
      </c>
      <c r="D35" s="155"/>
      <c r="E35" s="156"/>
      <c r="F35" s="156"/>
      <c r="G35" s="157"/>
      <c r="H35" s="354"/>
    </row>
    <row r="37" spans="2:20" ht="23" x14ac:dyDescent="0.3">
      <c r="B37" s="337" t="str">
        <f>_xlfn.CONCAT("Effective date of pay award: ",TEXT('Contents &amp; version control'!$D$22,"D MMMM YYYY"),".")</f>
        <v>Effective date of pay award: 1 November 2024.</v>
      </c>
      <c r="C37" s="337"/>
      <c r="D37" s="337"/>
      <c r="E37" s="337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</row>
    <row r="38" spans="2:20" ht="15.5" x14ac:dyDescent="0.35">
      <c r="B38" s="120"/>
      <c r="C38" s="120"/>
      <c r="D38" s="120"/>
      <c r="E38" s="120"/>
    </row>
    <row r="39" spans="2:20" ht="23.25" customHeight="1" x14ac:dyDescent="0.3">
      <c r="B39" s="337" t="str">
        <f>"Document version: "&amp;'Contents &amp; version control'!$B$18</f>
        <v>Document version: 2024.4</v>
      </c>
      <c r="C39" s="337"/>
      <c r="D39" s="337"/>
      <c r="E39" s="337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</row>
  </sheetData>
  <sheetProtection algorithmName="SHA-512" hashValue="sjfkUL8r+cBg0GZU/WcUX7yj+z73wYYShSSpDJ1z+8CFwoDbADiGoj4JLZhATJH+Fy2fxDGid2VguKTI4tQBvg==" saltValue="UdYWRz+6v5iUyS/6/SHBWA==" spinCount="100000" sheet="1" objects="1" scenarios="1"/>
  <customSheetViews>
    <customSheetView guid="{DC156EF3-60B9-4D72-83CB-66DF98F35EAF}" showGridLines="0" fitToPage="1">
      <selection activeCell="O32" sqref="O32"/>
      <pageMargins left="0.7" right="0.7" top="0.75" bottom="0.75" header="0.3" footer="0.3"/>
      <pageSetup paperSize="9" scale="74" orientation="portrait" r:id="rId1"/>
    </customSheetView>
  </customSheetViews>
  <mergeCells count="14">
    <mergeCell ref="B4:H4"/>
    <mergeCell ref="B3:H3"/>
    <mergeCell ref="G30:G34"/>
    <mergeCell ref="H31:H35"/>
    <mergeCell ref="D14:D17"/>
    <mergeCell ref="E11:G11"/>
    <mergeCell ref="E12:G12"/>
    <mergeCell ref="E13:G13"/>
    <mergeCell ref="E14:G17"/>
    <mergeCell ref="B39:E39"/>
    <mergeCell ref="B37:E37"/>
    <mergeCell ref="F24:F25"/>
    <mergeCell ref="E27:E30"/>
    <mergeCell ref="F28:F31"/>
  </mergeCells>
  <phoneticPr fontId="52" type="noConversion"/>
  <hyperlinks>
    <hyperlink ref="B9" r:id="rId2" xr:uid="{D2A6ACA6-C675-4E39-87A8-C92BB2C6E434}"/>
  </hyperlinks>
  <pageMargins left="0.7" right="0.7" top="0.75" bottom="0.75" header="0.3" footer="0.3"/>
  <pageSetup paperSize="9" scale="74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5651-055B-4243-AC01-7E20D3FC9BBD}">
  <sheetPr codeName="Sheet14">
    <tabColor theme="4" tint="0.39997558519241921"/>
    <pageSetUpPr fitToPage="1"/>
  </sheetPr>
  <dimension ref="B1:R21"/>
  <sheetViews>
    <sheetView showGridLines="0" zoomScaleNormal="100" zoomScaleSheetLayoutView="100" workbookViewId="0">
      <selection activeCell="F46" sqref="F46"/>
    </sheetView>
  </sheetViews>
  <sheetFormatPr defaultColWidth="9.1796875" defaultRowHeight="13.5" x14ac:dyDescent="0.3"/>
  <cols>
    <col min="1" max="1" width="6.7265625" style="23" customWidth="1"/>
    <col min="2" max="2" width="13.453125" style="23" customWidth="1"/>
    <col min="3" max="3" width="16.26953125" style="23" customWidth="1"/>
    <col min="4" max="4" width="14.54296875" style="23" customWidth="1"/>
    <col min="5" max="6" width="14" style="23" bestFit="1" customWidth="1"/>
    <col min="7" max="16384" width="9.1796875" style="23"/>
  </cols>
  <sheetData>
    <row r="1" spans="2:13" ht="35" x14ac:dyDescent="0.3">
      <c r="B1" s="317" t="s">
        <v>332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2:13" ht="14" x14ac:dyDescent="0.3">
      <c r="B2" s="35"/>
      <c r="C2" s="35"/>
      <c r="D2" s="35"/>
      <c r="E2" s="35"/>
      <c r="F2" s="35"/>
      <c r="G2" s="35"/>
      <c r="H2" s="35"/>
      <c r="I2" s="35"/>
      <c r="J2" s="48"/>
      <c r="K2" s="48"/>
      <c r="L2" s="35"/>
      <c r="M2" s="35"/>
    </row>
    <row r="3" spans="2:13" ht="17.5" x14ac:dyDescent="0.3">
      <c r="B3" s="318" t="s">
        <v>335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2:13" ht="22.5" customHeight="1" x14ac:dyDescent="0.3"/>
    <row r="5" spans="2:13" s="33" customFormat="1" x14ac:dyDescent="0.35"/>
    <row r="6" spans="2:13" s="33" customFormat="1" ht="35.15" customHeight="1" x14ac:dyDescent="0.35">
      <c r="B6" s="146" t="s">
        <v>43</v>
      </c>
      <c r="C6" s="146" t="s">
        <v>44</v>
      </c>
    </row>
    <row r="7" spans="2:13" s="33" customFormat="1" ht="35.15" customHeight="1" x14ac:dyDescent="0.35">
      <c r="B7" s="128">
        <v>10</v>
      </c>
      <c r="C7" s="143">
        <f>SUMIF('Points Lookup'!$AJ:$AJ,B7,'Points Lookup'!$AK:$AK)</f>
        <v>25351</v>
      </c>
      <c r="D7" s="374"/>
      <c r="E7" s="375"/>
      <c r="F7" s="373" t="s">
        <v>333</v>
      </c>
    </row>
    <row r="8" spans="2:13" s="33" customFormat="1" ht="35.15" customHeight="1" x14ac:dyDescent="0.35">
      <c r="B8" s="128">
        <v>11</v>
      </c>
      <c r="C8" s="143">
        <f>SUMIF('Points Lookup'!$AJ:$AJ,B8,'Points Lookup'!$AK:$AK)</f>
        <v>25763</v>
      </c>
      <c r="D8" s="376" t="s">
        <v>50</v>
      </c>
      <c r="E8" s="377"/>
      <c r="F8" s="373"/>
    </row>
    <row r="9" spans="2:13" s="33" customFormat="1" ht="35.15" customHeight="1" x14ac:dyDescent="0.35">
      <c r="B9" s="128">
        <v>12</v>
      </c>
      <c r="C9" s="143">
        <f>SUMIF('Points Lookup'!$AJ:$AJ,B9,'Points Lookup'!$AK:$AK)</f>
        <v>26104</v>
      </c>
      <c r="F9" s="373"/>
    </row>
    <row r="10" spans="2:13" s="33" customFormat="1" ht="35.15" customHeight="1" x14ac:dyDescent="0.35">
      <c r="B10" s="128">
        <v>13</v>
      </c>
      <c r="C10" s="265">
        <f>SUMIF('Points Lookup'!$AJ:$AJ,B10,'Points Lookup'!$AK:$AK)</f>
        <v>26603</v>
      </c>
      <c r="D10" s="378"/>
      <c r="E10" s="379"/>
      <c r="F10" s="384" t="s">
        <v>334</v>
      </c>
    </row>
    <row r="11" spans="2:13" s="33" customFormat="1" ht="35.15" customHeight="1" x14ac:dyDescent="0.35">
      <c r="B11" s="128">
        <v>14</v>
      </c>
      <c r="C11" s="265">
        <f>SUMIF('Points Lookup'!$AJ:$AJ,B11,'Points Lookup'!$AK:$AK)</f>
        <v>27154</v>
      </c>
      <c r="D11" s="380"/>
      <c r="E11" s="381"/>
      <c r="F11" s="384"/>
    </row>
    <row r="12" spans="2:13" s="33" customFormat="1" ht="35.15" customHeight="1" x14ac:dyDescent="0.35">
      <c r="B12" s="128">
        <v>15</v>
      </c>
      <c r="C12" s="265">
        <f>SUMIF('Points Lookup'!$AJ:$AJ,B12,'Points Lookup'!$AK:$AK)</f>
        <v>27665</v>
      </c>
      <c r="D12" s="380"/>
      <c r="E12" s="381"/>
      <c r="F12" s="384"/>
    </row>
    <row r="13" spans="2:13" s="33" customFormat="1" ht="35.15" customHeight="1" x14ac:dyDescent="0.35">
      <c r="B13" s="128">
        <v>16</v>
      </c>
      <c r="C13" s="265">
        <f>SUMIF('Points Lookup'!$AJ:$AJ,B13,'Points Lookup'!$AK:$AK)</f>
        <v>28348</v>
      </c>
      <c r="D13" s="382"/>
      <c r="E13" s="383"/>
      <c r="F13" s="384"/>
    </row>
    <row r="14" spans="2:13" s="33" customFormat="1" ht="35.15" customHeight="1" x14ac:dyDescent="0.35">
      <c r="B14" s="128">
        <v>17</v>
      </c>
      <c r="C14" s="143">
        <f>SUMIF('Points Lookup'!$AJ:$AJ,B14,'Points Lookup'!$AK:$AK)</f>
        <v>29030</v>
      </c>
      <c r="D14" s="376" t="s">
        <v>54</v>
      </c>
      <c r="E14" s="377"/>
      <c r="F14" s="373"/>
    </row>
    <row r="15" spans="2:13" s="33" customFormat="1" ht="35.15" customHeight="1" x14ac:dyDescent="0.35">
      <c r="B15" s="128">
        <v>18</v>
      </c>
      <c r="C15" s="265">
        <f>SUMIF('Points Lookup'!$AJ:$AJ,B15,'Points Lookup'!$AK:$AK)</f>
        <v>29823</v>
      </c>
      <c r="D15" s="378"/>
      <c r="E15" s="379"/>
      <c r="F15" s="384"/>
    </row>
    <row r="16" spans="2:13" s="33" customFormat="1" ht="35.15" customHeight="1" x14ac:dyDescent="0.35">
      <c r="B16" s="128">
        <v>19</v>
      </c>
      <c r="C16" s="265">
        <f>SUMIF('Points Lookup'!$AJ:$AJ,B16,'Points Lookup'!$AK:$AK)</f>
        <v>30652</v>
      </c>
      <c r="D16" s="380"/>
      <c r="E16" s="381"/>
      <c r="F16" s="384"/>
    </row>
    <row r="17" spans="2:18" s="33" customFormat="1" ht="35.15" customHeight="1" x14ac:dyDescent="0.35">
      <c r="B17" s="128">
        <v>20</v>
      </c>
      <c r="C17" s="265">
        <f>SUMIF('Points Lookup'!$AJ:$AJ,B17,'Points Lookup'!$AK:$AK)</f>
        <v>31554</v>
      </c>
      <c r="D17" s="382"/>
      <c r="E17" s="383"/>
      <c r="F17" s="384"/>
    </row>
    <row r="19" spans="2:18" ht="23" x14ac:dyDescent="0.3">
      <c r="B19" s="337" t="str">
        <f>_xlfn.CONCAT("Effective date of pay award: ",TEXT('Contents &amp; version control'!$D$22,"D MMMM YYYY"),".")</f>
        <v>Effective date of pay award: 1 November 2024.</v>
      </c>
      <c r="C19" s="337"/>
      <c r="D19" s="337"/>
      <c r="E19" s="337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</row>
    <row r="20" spans="2:18" ht="15.5" x14ac:dyDescent="0.35">
      <c r="B20" s="120"/>
      <c r="C20" s="120"/>
      <c r="D20" s="120"/>
      <c r="E20" s="120"/>
    </row>
    <row r="21" spans="2:18" ht="23.25" customHeight="1" x14ac:dyDescent="0.3">
      <c r="B21" s="337" t="str">
        <f>"Document version: "&amp;'Contents &amp; version control'!$B$18</f>
        <v>Document version: 2024.4</v>
      </c>
      <c r="C21" s="337"/>
      <c r="D21" s="337"/>
      <c r="E21" s="337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</row>
  </sheetData>
  <sheetProtection algorithmName="SHA-512" hashValue="MU1IrxE0eCZSJ0QJJoo+avAL5kCtBjI50MCwBRTvxFLl5rALoCa/Xs8Ywi6li9h6JhKUKdsrWAmRIcLrHYgsJw==" saltValue="Dko5CeihO+YxwYAi0EBokQ==" spinCount="100000" sheet="1" objects="1" scenarios="1"/>
  <customSheetViews>
    <customSheetView guid="{DC156EF3-60B9-4D72-83CB-66DF98F35EAF}" showGridLines="0" fitToPage="1">
      <selection activeCell="R9" sqref="R9"/>
      <pageMargins left="0.7" right="0.7" top="0.75" bottom="0.75" header="0.3" footer="0.3"/>
      <pageSetup paperSize="9" scale="64" orientation="portrait" r:id="rId1"/>
    </customSheetView>
  </customSheetViews>
  <mergeCells count="16">
    <mergeCell ref="B21:E21"/>
    <mergeCell ref="B1:M1"/>
    <mergeCell ref="B3:M3"/>
    <mergeCell ref="F7:F9"/>
    <mergeCell ref="D7:E7"/>
    <mergeCell ref="D8:E8"/>
    <mergeCell ref="D10:E10"/>
    <mergeCell ref="D11:E11"/>
    <mergeCell ref="D12:E12"/>
    <mergeCell ref="D13:E13"/>
    <mergeCell ref="B19:E19"/>
    <mergeCell ref="D14:E14"/>
    <mergeCell ref="F10:F17"/>
    <mergeCell ref="D15:E15"/>
    <mergeCell ref="D16:E16"/>
    <mergeCell ref="D17:E17"/>
  </mergeCells>
  <pageMargins left="0.7" right="0.7" top="0.75" bottom="0.75" header="0.3" footer="0.3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A8DA-8E43-4150-AC47-31D2A71252C1}">
  <sheetPr codeName="Sheet3">
    <tabColor theme="4" tint="0.39997558519241921"/>
    <pageSetUpPr fitToPage="1"/>
  </sheetPr>
  <dimension ref="A1:N43"/>
  <sheetViews>
    <sheetView showGridLines="0" zoomScaleNormal="100" zoomScaleSheetLayoutView="100" workbookViewId="0">
      <selection activeCell="G11" sqref="G11:G14"/>
    </sheetView>
  </sheetViews>
  <sheetFormatPr defaultColWidth="9.1796875" defaultRowHeight="14" x14ac:dyDescent="0.35"/>
  <cols>
    <col min="1" max="1" width="6.7265625" style="24" customWidth="1"/>
    <col min="2" max="4" width="10.7265625" style="24" customWidth="1"/>
    <col min="5" max="5" width="18.453125" style="24" bestFit="1" customWidth="1"/>
    <col min="6" max="6" width="9.1796875" style="24" customWidth="1"/>
    <col min="7" max="7" width="20.7265625" style="24" customWidth="1"/>
    <col min="8" max="8" width="18.453125" style="24" bestFit="1" customWidth="1"/>
    <col min="9" max="10" width="10.7265625" style="24" customWidth="1"/>
    <col min="11" max="11" width="10.7265625" style="49" customWidth="1"/>
    <col min="12" max="12" width="9.1796875" style="24" customWidth="1"/>
    <col min="13" max="13" width="9.1796875" style="24"/>
    <col min="14" max="14" width="67.26953125" style="24" customWidth="1"/>
    <col min="15" max="16384" width="9.1796875" style="24"/>
  </cols>
  <sheetData>
    <row r="1" spans="1:14" s="175" customFormat="1" ht="30" x14ac:dyDescent="0.35">
      <c r="A1" s="394" t="s">
        <v>83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N1" s="176"/>
    </row>
    <row r="2" spans="1:14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48"/>
      <c r="L2" s="35"/>
      <c r="M2" s="206"/>
      <c r="N2" s="206"/>
    </row>
    <row r="3" spans="1:14" ht="18" customHeight="1" x14ac:dyDescent="0.35">
      <c r="A3" s="318" t="s">
        <v>84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206"/>
      <c r="N3" s="206"/>
    </row>
    <row r="4" spans="1:14" ht="18" customHeight="1" x14ac:dyDescent="0.35">
      <c r="A4" s="401" t="s">
        <v>85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206"/>
      <c r="N4" s="206"/>
    </row>
    <row r="5" spans="1:14" x14ac:dyDescent="0.3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06"/>
      <c r="N5" s="206"/>
    </row>
    <row r="6" spans="1:14" s="31" customFormat="1" ht="30" customHeight="1" x14ac:dyDescent="0.35">
      <c r="A6" s="207"/>
      <c r="B6" s="207"/>
      <c r="C6" s="207"/>
      <c r="D6" s="207"/>
      <c r="E6" s="207"/>
      <c r="F6" s="51" t="s">
        <v>43</v>
      </c>
      <c r="G6" s="51" t="s">
        <v>44</v>
      </c>
      <c r="H6" s="207"/>
      <c r="I6" s="207"/>
      <c r="J6" s="207"/>
      <c r="K6" s="207"/>
      <c r="L6" s="207"/>
      <c r="M6" s="207"/>
      <c r="N6" s="207"/>
    </row>
    <row r="7" spans="1:14" ht="24" customHeight="1" x14ac:dyDescent="0.35">
      <c r="A7" s="206"/>
      <c r="B7" s="391" t="s">
        <v>86</v>
      </c>
      <c r="C7" s="395" t="s">
        <v>87</v>
      </c>
      <c r="D7" s="398" t="s">
        <v>88</v>
      </c>
      <c r="E7" s="210"/>
      <c r="F7" s="128">
        <v>23</v>
      </c>
      <c r="G7" s="143">
        <f>SUMIF('Points Lookup'!$A:$A,F7,'Points Lookup'!$E:$E)</f>
        <v>31387</v>
      </c>
      <c r="H7" s="50"/>
      <c r="I7" s="50"/>
      <c r="J7" s="50"/>
      <c r="K7" s="50"/>
      <c r="L7" s="206"/>
      <c r="M7" s="206"/>
      <c r="N7" s="206"/>
    </row>
    <row r="8" spans="1:14" ht="24" customHeight="1" x14ac:dyDescent="0.35">
      <c r="A8" s="206"/>
      <c r="B8" s="392"/>
      <c r="C8" s="396"/>
      <c r="D8" s="399"/>
      <c r="E8" s="206"/>
      <c r="F8" s="128">
        <v>24</v>
      </c>
      <c r="G8" s="143">
        <f>SUMIF('Points Lookup'!$A:$A,F8,'Points Lookup'!$E:$E)</f>
        <v>32296</v>
      </c>
      <c r="H8" s="206"/>
      <c r="I8" s="50"/>
      <c r="J8" s="50"/>
      <c r="K8" s="50"/>
      <c r="L8" s="206"/>
      <c r="M8" s="206"/>
      <c r="N8" s="206"/>
    </row>
    <row r="9" spans="1:14" ht="24" customHeight="1" x14ac:dyDescent="0.35">
      <c r="A9" s="206"/>
      <c r="B9" s="392"/>
      <c r="C9" s="396"/>
      <c r="D9" s="399"/>
      <c r="E9" s="206"/>
      <c r="F9" s="221">
        <v>25</v>
      </c>
      <c r="G9" s="222">
        <f>SUMIF('Points Lookup'!$A:$A,F9,'Points Lookup'!$E:$E)</f>
        <v>33232</v>
      </c>
      <c r="H9" s="223" t="s">
        <v>89</v>
      </c>
      <c r="I9" s="50"/>
      <c r="J9" s="50"/>
      <c r="K9" s="50"/>
      <c r="L9" s="206"/>
      <c r="M9" s="206"/>
      <c r="N9" s="206"/>
    </row>
    <row r="10" spans="1:14" ht="24" customHeight="1" x14ac:dyDescent="0.35">
      <c r="A10" s="206"/>
      <c r="B10" s="392"/>
      <c r="C10" s="396"/>
      <c r="D10" s="399"/>
      <c r="E10" s="206"/>
      <c r="F10" s="128">
        <v>26</v>
      </c>
      <c r="G10" s="143">
        <f>SUMIF('Points Lookup'!$A:$A,F10,'Points Lookup'!$E:$E)</f>
        <v>33882</v>
      </c>
      <c r="H10" s="206"/>
      <c r="I10" s="50"/>
      <c r="J10" s="50"/>
      <c r="K10" s="50"/>
      <c r="L10" s="206"/>
      <c r="M10" s="206"/>
      <c r="N10" s="206"/>
    </row>
    <row r="11" spans="1:14" ht="30" customHeight="1" x14ac:dyDescent="0.35">
      <c r="A11" s="206"/>
      <c r="B11" s="392"/>
      <c r="C11" s="397"/>
      <c r="D11" s="400"/>
      <c r="E11" s="130" t="s">
        <v>90</v>
      </c>
      <c r="F11" s="128">
        <v>27</v>
      </c>
      <c r="G11" s="143">
        <f>SUMIF('Points Lookup'!$A:$A,F11,'Points Lookup'!$E:$E)</f>
        <v>34866</v>
      </c>
      <c r="H11" s="224"/>
      <c r="I11" s="387" t="s">
        <v>91</v>
      </c>
      <c r="J11" s="325" t="s">
        <v>92</v>
      </c>
      <c r="K11" s="331" t="s">
        <v>93</v>
      </c>
      <c r="L11" s="206"/>
      <c r="M11" s="206"/>
      <c r="N11" s="206"/>
    </row>
    <row r="12" spans="1:14" ht="24" customHeight="1" x14ac:dyDescent="0.35">
      <c r="A12" s="206"/>
      <c r="B12" s="392"/>
      <c r="C12" s="206"/>
      <c r="D12" s="206"/>
      <c r="E12" s="206"/>
      <c r="F12" s="128">
        <v>28</v>
      </c>
      <c r="G12" s="143">
        <f>SUMIF('Points Lookup'!$A:$A,F12,'Points Lookup'!$E:$E)</f>
        <v>35880</v>
      </c>
      <c r="H12" s="225"/>
      <c r="I12" s="388"/>
      <c r="J12" s="325"/>
      <c r="K12" s="332"/>
      <c r="L12" s="206"/>
      <c r="M12" s="206"/>
      <c r="N12" s="206"/>
    </row>
    <row r="13" spans="1:14" ht="24" customHeight="1" x14ac:dyDescent="0.35">
      <c r="A13" s="206"/>
      <c r="B13" s="392"/>
      <c r="C13" s="206"/>
      <c r="D13" s="206"/>
      <c r="E13" s="206"/>
      <c r="F13" s="128">
        <v>29</v>
      </c>
      <c r="G13" s="143">
        <f>SUMIF('Points Lookup'!$A:$A,F13,'Points Lookup'!$E:$E)</f>
        <v>36924</v>
      </c>
      <c r="H13" s="225"/>
      <c r="I13" s="388"/>
      <c r="J13" s="325"/>
      <c r="K13" s="332"/>
      <c r="L13" s="206"/>
      <c r="M13" s="206"/>
      <c r="N13" s="206"/>
    </row>
    <row r="14" spans="1:14" ht="24" customHeight="1" x14ac:dyDescent="0.35">
      <c r="A14" s="206"/>
      <c r="B14" s="393"/>
      <c r="C14" s="218"/>
      <c r="D14" s="214"/>
      <c r="E14" s="215"/>
      <c r="F14" s="128">
        <v>30</v>
      </c>
      <c r="G14" s="143">
        <f>SUMIF('Points Lookup'!$A:$A,F14,'Points Lookup'!$E:$E)</f>
        <v>37999</v>
      </c>
      <c r="H14" s="225"/>
      <c r="I14" s="388"/>
      <c r="J14" s="325"/>
      <c r="K14" s="332"/>
      <c r="L14" s="206"/>
      <c r="M14" s="206"/>
      <c r="N14" s="206"/>
    </row>
    <row r="15" spans="1:14" ht="24" customHeight="1" x14ac:dyDescent="0.35">
      <c r="A15" s="206"/>
      <c r="B15" s="206"/>
      <c r="C15" s="206"/>
      <c r="D15" s="206"/>
      <c r="E15" s="216"/>
      <c r="F15" s="128">
        <v>31</v>
      </c>
      <c r="G15" s="143">
        <f>SUMIF('Points Lookup'!$A:$A,F15,'Points Lookup'!$E:$E)</f>
        <v>39105</v>
      </c>
      <c r="H15" s="225"/>
      <c r="I15" s="388"/>
      <c r="J15" s="325"/>
      <c r="K15" s="332"/>
      <c r="L15" s="206"/>
      <c r="M15" s="206"/>
      <c r="N15" s="206"/>
    </row>
    <row r="16" spans="1:14" ht="24" customHeight="1" x14ac:dyDescent="0.35">
      <c r="A16" s="206"/>
      <c r="B16" s="206"/>
      <c r="C16" s="206"/>
      <c r="D16" s="206"/>
      <c r="E16" s="216"/>
      <c r="F16" s="128">
        <v>32</v>
      </c>
      <c r="G16" s="143">
        <f>SUMIF('Points Lookup'!$A:$A,F16,'Points Lookup'!$E:$E)</f>
        <v>40247</v>
      </c>
      <c r="H16" s="225"/>
      <c r="I16" s="388"/>
      <c r="J16" s="325"/>
      <c r="K16" s="332"/>
      <c r="L16" s="206"/>
      <c r="M16" s="206"/>
      <c r="N16" s="206"/>
    </row>
    <row r="17" spans="2:14" ht="24" customHeight="1" x14ac:dyDescent="0.35">
      <c r="B17" s="206"/>
      <c r="C17" s="206"/>
      <c r="D17" s="391" t="s">
        <v>94</v>
      </c>
      <c r="E17" s="224"/>
      <c r="F17" s="128">
        <v>33</v>
      </c>
      <c r="G17" s="143">
        <f>SUMIF('Points Lookup'!$A:$A,F17,'Points Lookup'!$E:$E)</f>
        <v>41421</v>
      </c>
      <c r="H17" s="225"/>
      <c r="I17" s="388"/>
      <c r="J17" s="325"/>
      <c r="K17" s="332"/>
      <c r="L17" s="206"/>
      <c r="M17" s="206"/>
      <c r="N17" s="217"/>
    </row>
    <row r="18" spans="2:14" ht="24" customHeight="1" x14ac:dyDescent="0.35">
      <c r="B18" s="206"/>
      <c r="C18" s="206"/>
      <c r="D18" s="392"/>
      <c r="E18" s="225"/>
      <c r="F18" s="128">
        <v>34</v>
      </c>
      <c r="G18" s="143">
        <f>SUMIF('Points Lookup'!$A:$A,F18,'Points Lookup'!$E:$E)</f>
        <v>42632</v>
      </c>
      <c r="H18" s="225"/>
      <c r="I18" s="388"/>
      <c r="J18" s="325"/>
      <c r="K18" s="332"/>
      <c r="L18" s="206"/>
      <c r="M18" s="206"/>
      <c r="N18" s="217"/>
    </row>
    <row r="19" spans="2:14" ht="24" customHeight="1" x14ac:dyDescent="0.35">
      <c r="B19" s="206"/>
      <c r="C19" s="206"/>
      <c r="D19" s="393"/>
      <c r="E19" s="226"/>
      <c r="F19" s="128">
        <v>35</v>
      </c>
      <c r="G19" s="143">
        <f>SUMIF('Points Lookup'!$A:$A,F19,'Points Lookup'!$E:$E)</f>
        <v>43878</v>
      </c>
      <c r="H19" s="225"/>
      <c r="I19" s="388"/>
      <c r="J19" s="325"/>
      <c r="K19" s="332"/>
      <c r="L19" s="206"/>
      <c r="M19" s="206"/>
      <c r="N19" s="217"/>
    </row>
    <row r="20" spans="2:14" ht="24" customHeight="1" x14ac:dyDescent="0.35">
      <c r="B20" s="386" t="s">
        <v>95</v>
      </c>
      <c r="C20" s="325" t="s">
        <v>96</v>
      </c>
      <c r="D20" s="385" t="s">
        <v>97</v>
      </c>
      <c r="E20" s="224"/>
      <c r="F20" s="128">
        <v>36</v>
      </c>
      <c r="G20" s="143">
        <f>SUMIF('Points Lookup'!$A:$A,F20,'Points Lookup'!$E:$E)</f>
        <v>45163</v>
      </c>
      <c r="H20" s="225"/>
      <c r="I20" s="388"/>
      <c r="J20" s="390"/>
      <c r="K20" s="332"/>
      <c r="L20" s="206"/>
      <c r="M20" s="206"/>
      <c r="N20" s="206"/>
    </row>
    <row r="21" spans="2:14" ht="30" customHeight="1" x14ac:dyDescent="0.35">
      <c r="B21" s="386"/>
      <c r="C21" s="325"/>
      <c r="D21" s="385"/>
      <c r="E21" s="225"/>
      <c r="F21" s="128">
        <v>37</v>
      </c>
      <c r="G21" s="143">
        <f>SUMIF('Points Lookup'!$A:$A,F21,'Points Lookup'!$E:$E)</f>
        <v>46485</v>
      </c>
      <c r="H21" s="47" t="s">
        <v>98</v>
      </c>
      <c r="I21" s="388"/>
      <c r="J21" s="325"/>
      <c r="K21" s="332"/>
      <c r="L21" s="206"/>
      <c r="M21" s="206"/>
      <c r="N21" s="206"/>
    </row>
    <row r="22" spans="2:14" ht="24" customHeight="1" x14ac:dyDescent="0.35">
      <c r="B22" s="386"/>
      <c r="C22" s="325"/>
      <c r="D22" s="385"/>
      <c r="E22" s="225"/>
      <c r="F22" s="128">
        <v>38</v>
      </c>
      <c r="G22" s="143">
        <f>SUMIF('Points Lookup'!$A:$A,F22,'Points Lookup'!$E:$E)</f>
        <v>47874</v>
      </c>
      <c r="H22" s="225"/>
      <c r="I22" s="388"/>
      <c r="J22" s="325"/>
      <c r="K22" s="332"/>
      <c r="L22" s="206"/>
      <c r="M22" s="206"/>
      <c r="N22" s="206"/>
    </row>
    <row r="23" spans="2:14" ht="24" customHeight="1" x14ac:dyDescent="0.35">
      <c r="B23" s="386"/>
      <c r="C23" s="325"/>
      <c r="D23" s="385"/>
      <c r="E23" s="225"/>
      <c r="F23" s="128">
        <v>39</v>
      </c>
      <c r="G23" s="143">
        <f>SUMIF('Points Lookup'!$A:$A,F23,'Points Lookup'!$E:$E)</f>
        <v>49250</v>
      </c>
      <c r="H23" s="226"/>
      <c r="I23" s="389"/>
      <c r="J23" s="325"/>
      <c r="K23" s="333"/>
      <c r="L23" s="206"/>
      <c r="M23" s="206"/>
      <c r="N23" s="206"/>
    </row>
    <row r="24" spans="2:14" ht="24" customHeight="1" x14ac:dyDescent="0.35">
      <c r="B24" s="386"/>
      <c r="C24" s="325"/>
      <c r="D24" s="385"/>
      <c r="E24" s="225"/>
      <c r="F24" s="128">
        <v>40</v>
      </c>
      <c r="G24" s="143">
        <f>SUMIF('Points Lookup'!$A:$A,F24,'Points Lookup'!$E:$E)</f>
        <v>50694</v>
      </c>
      <c r="H24" s="206"/>
      <c r="I24" s="206"/>
      <c r="J24" s="206"/>
      <c r="K24" s="206"/>
      <c r="L24" s="206"/>
      <c r="M24" s="206"/>
      <c r="N24" s="206"/>
    </row>
    <row r="25" spans="2:14" ht="24" customHeight="1" x14ac:dyDescent="0.35">
      <c r="B25" s="386"/>
      <c r="C25" s="325"/>
      <c r="D25" s="385"/>
      <c r="E25" s="225"/>
      <c r="F25" s="128">
        <v>41</v>
      </c>
      <c r="G25" s="143">
        <f>SUMIF('Points Lookup'!$A:$A,F25,'Points Lookup'!$E:$E)</f>
        <v>52183</v>
      </c>
      <c r="H25" s="206"/>
      <c r="I25" s="206"/>
      <c r="J25" s="206"/>
      <c r="K25" s="206"/>
      <c r="L25" s="206"/>
      <c r="M25" s="206"/>
      <c r="N25" s="206"/>
    </row>
    <row r="26" spans="2:14" ht="24" customHeight="1" x14ac:dyDescent="0.35">
      <c r="B26" s="386"/>
      <c r="C26" s="325"/>
      <c r="D26" s="385"/>
      <c r="E26" s="225"/>
      <c r="F26" s="128">
        <v>42</v>
      </c>
      <c r="G26" s="143">
        <f>SUMIF('Points Lookup'!$A:$A,F26,'Points Lookup'!$E:$E)</f>
        <v>53715</v>
      </c>
      <c r="H26" s="206"/>
      <c r="I26" s="206"/>
      <c r="J26" s="206"/>
      <c r="K26" s="206"/>
      <c r="L26" s="206"/>
      <c r="M26" s="206"/>
      <c r="N26" s="206"/>
    </row>
    <row r="27" spans="2:14" ht="24" customHeight="1" x14ac:dyDescent="0.35">
      <c r="B27" s="386"/>
      <c r="C27" s="325"/>
      <c r="D27" s="385"/>
      <c r="E27" s="225"/>
      <c r="F27" s="128">
        <v>43</v>
      </c>
      <c r="G27" s="143">
        <f>SUMIF('Points Lookup'!$A:$A,F27,'Points Lookup'!$E:$E)</f>
        <v>55295</v>
      </c>
      <c r="H27" s="206"/>
      <c r="I27" s="206"/>
      <c r="J27" s="206"/>
      <c r="K27" s="206"/>
      <c r="L27" s="206"/>
      <c r="M27" s="206"/>
      <c r="N27" s="206"/>
    </row>
    <row r="28" spans="2:14" ht="30" customHeight="1" x14ac:dyDescent="0.35">
      <c r="B28" s="386"/>
      <c r="C28" s="325"/>
      <c r="D28" s="385"/>
      <c r="E28" s="47" t="s">
        <v>99</v>
      </c>
      <c r="F28" s="128">
        <v>44</v>
      </c>
      <c r="G28" s="143">
        <f>SUMIF('Points Lookup'!$A:$A,F28,'Points Lookup'!$E:$E)</f>
        <v>56921</v>
      </c>
      <c r="H28" s="206"/>
      <c r="I28" s="206"/>
      <c r="J28" s="206"/>
      <c r="K28" s="206"/>
      <c r="L28" s="206"/>
      <c r="M28" s="206"/>
      <c r="N28" s="206"/>
    </row>
    <row r="29" spans="2:14" ht="24" customHeight="1" x14ac:dyDescent="0.35">
      <c r="B29" s="386"/>
      <c r="C29" s="325"/>
      <c r="D29" s="385"/>
      <c r="E29" s="225"/>
      <c r="F29" s="128">
        <v>45</v>
      </c>
      <c r="G29" s="143">
        <f>SUMIF('Points Lookup'!$A:$A,F29,'Points Lookup'!$E:$E)</f>
        <v>58596</v>
      </c>
      <c r="H29" s="208"/>
      <c r="I29" s="387" t="s">
        <v>100</v>
      </c>
      <c r="J29" s="334" t="s">
        <v>101</v>
      </c>
      <c r="K29" s="331" t="s">
        <v>102</v>
      </c>
      <c r="L29" s="206"/>
      <c r="M29" s="206"/>
      <c r="N29" s="206"/>
    </row>
    <row r="30" spans="2:14" ht="24" customHeight="1" x14ac:dyDescent="0.35">
      <c r="B30" s="386"/>
      <c r="C30" s="325"/>
      <c r="D30" s="385"/>
      <c r="E30" s="225"/>
      <c r="F30" s="128">
        <v>46</v>
      </c>
      <c r="G30" s="143">
        <f>SUMIF('Points Lookup'!$A:$A,F30,'Points Lookup'!$E:$E)</f>
        <v>60321</v>
      </c>
      <c r="H30" s="213"/>
      <c r="I30" s="388"/>
      <c r="J30" s="335"/>
      <c r="K30" s="332"/>
      <c r="L30" s="206"/>
      <c r="M30" s="206"/>
      <c r="N30" s="206"/>
    </row>
    <row r="31" spans="2:14" ht="24" customHeight="1" x14ac:dyDescent="0.35">
      <c r="B31" s="386"/>
      <c r="C31" s="325"/>
      <c r="D31" s="385"/>
      <c r="E31" s="225"/>
      <c r="F31" s="128">
        <v>47</v>
      </c>
      <c r="G31" s="143">
        <f>SUMIF('Points Lookup'!$A:$A,F31,'Points Lookup'!$E:$E)</f>
        <v>62098</v>
      </c>
      <c r="H31" s="213"/>
      <c r="I31" s="388"/>
      <c r="J31" s="335"/>
      <c r="K31" s="332"/>
      <c r="L31" s="206"/>
      <c r="M31" s="206"/>
      <c r="N31" s="206"/>
    </row>
    <row r="32" spans="2:14" ht="24" customHeight="1" x14ac:dyDescent="0.35">
      <c r="B32" s="386"/>
      <c r="C32" s="325"/>
      <c r="D32" s="385"/>
      <c r="E32" s="226"/>
      <c r="F32" s="128">
        <v>48</v>
      </c>
      <c r="G32" s="143">
        <f>SUMIF('Points Lookup'!$A:$A,F32,'Points Lookup'!$E:$E)</f>
        <v>63929</v>
      </c>
      <c r="H32" s="213"/>
      <c r="I32" s="388"/>
      <c r="J32" s="335"/>
      <c r="K32" s="332"/>
      <c r="L32" s="206"/>
      <c r="M32" s="206"/>
      <c r="N32" s="206"/>
    </row>
    <row r="33" spans="2:12" ht="24" customHeight="1" x14ac:dyDescent="0.35">
      <c r="B33" s="206"/>
      <c r="C33" s="206"/>
      <c r="D33" s="206"/>
      <c r="E33" s="216"/>
      <c r="F33" s="128">
        <v>49</v>
      </c>
      <c r="G33" s="143">
        <f>SUMIF('Points Lookup'!$A:$A,F33,'Points Lookup'!$E:$E)</f>
        <v>65814</v>
      </c>
      <c r="H33" s="213"/>
      <c r="I33" s="388"/>
      <c r="J33" s="335"/>
      <c r="K33" s="332"/>
      <c r="L33" s="206"/>
    </row>
    <row r="34" spans="2:12" ht="24" customHeight="1" x14ac:dyDescent="0.35">
      <c r="B34" s="206"/>
      <c r="C34" s="206"/>
      <c r="D34" s="206"/>
      <c r="E34" s="216"/>
      <c r="F34" s="128">
        <v>50</v>
      </c>
      <c r="G34" s="143">
        <f>SUMIF('Points Lookup'!$A:$A,F34,'Points Lookup'!$E:$E)</f>
        <v>67757</v>
      </c>
      <c r="H34" s="213"/>
      <c r="I34" s="388"/>
      <c r="J34" s="335"/>
      <c r="K34" s="332"/>
      <c r="L34" s="206"/>
    </row>
    <row r="35" spans="2:12" ht="24" customHeight="1" x14ac:dyDescent="0.35">
      <c r="B35" s="206"/>
      <c r="C35" s="206"/>
      <c r="D35" s="206"/>
      <c r="E35" s="216"/>
      <c r="F35" s="128">
        <v>51</v>
      </c>
      <c r="G35" s="143">
        <f>SUMIF('Points Lookup'!$A:$A,F35,'Points Lookup'!$E:$E)</f>
        <v>69757</v>
      </c>
      <c r="H35" s="213"/>
      <c r="I35" s="388"/>
      <c r="J35" s="335"/>
      <c r="K35" s="332"/>
      <c r="L35" s="206"/>
    </row>
    <row r="36" spans="2:12" ht="30" customHeight="1" x14ac:dyDescent="0.35">
      <c r="B36" s="206"/>
      <c r="C36" s="206"/>
      <c r="D36" s="206"/>
      <c r="E36" s="216"/>
      <c r="F36" s="128">
        <v>52</v>
      </c>
      <c r="G36" s="143">
        <f>SUMIF('Points Lookup'!$A:$A,F36,'Points Lookup'!$E:$E)</f>
        <v>71797</v>
      </c>
      <c r="H36" s="47" t="s">
        <v>103</v>
      </c>
      <c r="I36" s="388"/>
      <c r="J36" s="335"/>
      <c r="K36" s="332"/>
      <c r="L36" s="206"/>
    </row>
    <row r="37" spans="2:12" ht="24" customHeight="1" x14ac:dyDescent="0.35">
      <c r="B37" s="206"/>
      <c r="C37" s="206"/>
      <c r="D37" s="206"/>
      <c r="E37" s="216"/>
      <c r="F37" s="128">
        <v>53</v>
      </c>
      <c r="G37" s="143">
        <f>SUMIF('Points Lookup'!$A:$A,F37,'Points Lookup'!$E:$E)</f>
        <v>73918</v>
      </c>
      <c r="H37" s="213"/>
      <c r="I37" s="388"/>
      <c r="J37" s="335"/>
      <c r="K37" s="332"/>
      <c r="L37" s="206"/>
    </row>
    <row r="38" spans="2:12" ht="24" customHeight="1" x14ac:dyDescent="0.35">
      <c r="B38" s="206"/>
      <c r="C38" s="206"/>
      <c r="D38" s="206"/>
      <c r="E38" s="216"/>
      <c r="F38" s="128">
        <v>54</v>
      </c>
      <c r="G38" s="143">
        <f>SUMIF('Points Lookup'!$A:$A,F38,'Points Lookup'!$E:$E)</f>
        <v>76106</v>
      </c>
      <c r="H38" s="213"/>
      <c r="I38" s="388"/>
      <c r="J38" s="335"/>
      <c r="K38" s="332"/>
      <c r="L38" s="206"/>
    </row>
    <row r="39" spans="2:12" ht="24" customHeight="1" x14ac:dyDescent="0.35">
      <c r="B39" s="206"/>
      <c r="C39" s="206"/>
      <c r="D39" s="206"/>
      <c r="E39" s="216"/>
      <c r="F39" s="128">
        <v>55</v>
      </c>
      <c r="G39" s="143">
        <f>SUMIF('Points Lookup'!$A:$A,F39,'Points Lookup'!$E:$E)</f>
        <v>78356</v>
      </c>
      <c r="H39" s="213"/>
      <c r="I39" s="388"/>
      <c r="J39" s="335"/>
      <c r="K39" s="332"/>
      <c r="L39" s="206"/>
    </row>
    <row r="40" spans="2:12" ht="24" customHeight="1" x14ac:dyDescent="0.35">
      <c r="B40" s="206"/>
      <c r="C40" s="206"/>
      <c r="D40" s="206"/>
      <c r="E40" s="216"/>
      <c r="F40" s="128">
        <v>56</v>
      </c>
      <c r="G40" s="143">
        <f>SUMIF('Points Lookup'!$A:$A,F40,'Points Lookup'!$E:$E)</f>
        <v>80674</v>
      </c>
      <c r="H40" s="213"/>
      <c r="I40" s="388"/>
      <c r="J40" s="335"/>
      <c r="K40" s="332"/>
      <c r="L40" s="206"/>
    </row>
    <row r="41" spans="2:12" ht="24" customHeight="1" x14ac:dyDescent="0.35">
      <c r="B41" s="206"/>
      <c r="C41" s="206"/>
      <c r="D41" s="206"/>
      <c r="E41" s="216"/>
      <c r="F41" s="128">
        <v>57</v>
      </c>
      <c r="G41" s="143">
        <f>SUMIF('Points Lookup'!$A:$A,F41,'Points Lookup'!$E:$E)</f>
        <v>83061</v>
      </c>
      <c r="H41" s="218"/>
      <c r="I41" s="389"/>
      <c r="J41" s="336"/>
      <c r="K41" s="333"/>
      <c r="L41" s="206"/>
    </row>
    <row r="42" spans="2:12" ht="86.25" customHeight="1" x14ac:dyDescent="0.35">
      <c r="B42" s="319" t="str">
        <f>"Effective date of pay award: "&amp;IF('Contents &amp; version control'!$D$23='Contents &amp; version control'!$D$25,TEXT('Contents &amp; version control'!$D$23,"D MMMM YYYY")&amp;".",TEXT('Contents &amp; version control'!$D$23,"D MMMM YYYY")&amp;" (UCU represented staff: "&amp;'Contents &amp; version control'!$C$23&amp;"), "&amp;TEXT('Contents &amp; version control'!$D$25,"D MMMM YYYY")&amp;" (Unite represented staff: "&amp;'Contents &amp; version control'!$C$25&amp;").")</f>
        <v>Effective date of pay award: 1 August 2024.</v>
      </c>
      <c r="C42" s="319"/>
      <c r="D42" s="319"/>
      <c r="E42" s="319"/>
      <c r="F42" s="319"/>
      <c r="G42" s="319"/>
      <c r="H42" s="319"/>
      <c r="I42" s="319"/>
      <c r="J42" s="319"/>
      <c r="K42" s="319"/>
      <c r="L42" s="119"/>
    </row>
    <row r="43" spans="2:12" ht="33" customHeight="1" x14ac:dyDescent="0.35">
      <c r="B43" s="319" t="str">
        <f>"Document version: "&amp;'Contents &amp; version control'!$B$18</f>
        <v>Document version: 2024.4</v>
      </c>
      <c r="C43" s="319"/>
      <c r="D43" s="319"/>
      <c r="E43" s="319"/>
      <c r="F43" s="319"/>
      <c r="G43" s="319"/>
      <c r="H43" s="319"/>
      <c r="I43" s="319"/>
      <c r="J43" s="319"/>
      <c r="K43" s="319"/>
      <c r="L43" s="319"/>
    </row>
  </sheetData>
  <sheetProtection algorithmName="SHA-512" hashValue="yGT+4q0HD0w8oC1PWxsLD9PCR4SQXb58raUQSz1XFc7DKLqZ8CRqRb/1w+qWFo2JD54pZGfub99tCOdFZMIvGg==" saltValue="EvBYhY24GZS51r+deScpKw==" spinCount="100000" sheet="1" objects="1" scenarios="1"/>
  <customSheetViews>
    <customSheetView guid="{DC156EF3-60B9-4D72-83CB-66DF98F35EAF}" showGridLines="0" fitToPage="1" topLeftCell="A13">
      <selection activeCell="G26" sqref="G26"/>
      <pageMargins left="0.23622047244094491" right="0.23622047244094491" top="0.74803149606299213" bottom="0.74803149606299213" header="0.31496062992125984" footer="0.31496062992125984"/>
      <printOptions horizontalCentered="1"/>
      <pageSetup paperSize="9" scale="70" fitToHeight="0" orientation="portrait" r:id="rId1"/>
    </customSheetView>
  </customSheetViews>
  <mergeCells count="19">
    <mergeCell ref="A1:L1"/>
    <mergeCell ref="D17:D19"/>
    <mergeCell ref="C7:C11"/>
    <mergeCell ref="D7:D11"/>
    <mergeCell ref="A3:L3"/>
    <mergeCell ref="A4:L4"/>
    <mergeCell ref="B43:L43"/>
    <mergeCell ref="D20:D32"/>
    <mergeCell ref="C20:C32"/>
    <mergeCell ref="B20:B32"/>
    <mergeCell ref="K29:K41"/>
    <mergeCell ref="J29:J41"/>
    <mergeCell ref="I29:I41"/>
    <mergeCell ref="K11:K23"/>
    <mergeCell ref="J11:J23"/>
    <mergeCell ref="I11:I23"/>
    <mergeCell ref="B7:B11"/>
    <mergeCell ref="B12:B14"/>
    <mergeCell ref="B42:K42"/>
  </mergeCells>
  <conditionalFormatting sqref="J11:K23">
    <cfRule type="expression" dxfId="14" priority="1" stopIfTrue="1">
      <formula>RIGHT(J11,12)="Standard Max"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fitToPage="1"/>
  </sheetPr>
  <dimension ref="B1:X42"/>
  <sheetViews>
    <sheetView showGridLines="0" topLeftCell="A25" zoomScaleNormal="100" zoomScaleSheetLayoutView="100" workbookViewId="0">
      <selection activeCell="F46" sqref="F46"/>
    </sheetView>
  </sheetViews>
  <sheetFormatPr defaultColWidth="9.1796875" defaultRowHeight="13.5" x14ac:dyDescent="0.3"/>
  <cols>
    <col min="1" max="1" width="6.7265625" style="23" customWidth="1"/>
    <col min="2" max="9" width="10.7265625" style="23" customWidth="1"/>
    <col min="10" max="16384" width="9.1796875" style="23"/>
  </cols>
  <sheetData>
    <row r="1" spans="2:9" ht="30" x14ac:dyDescent="0.3">
      <c r="B1" s="62" t="s">
        <v>104</v>
      </c>
      <c r="C1" s="62"/>
      <c r="D1" s="62"/>
      <c r="E1" s="62"/>
      <c r="F1" s="62"/>
      <c r="G1" s="62"/>
      <c r="H1" s="62"/>
      <c r="I1" s="62"/>
    </row>
    <row r="2" spans="2:9" ht="14" x14ac:dyDescent="0.3">
      <c r="B2" s="206"/>
      <c r="C2" s="219"/>
      <c r="D2" s="206"/>
      <c r="E2" s="206"/>
      <c r="F2" s="206"/>
      <c r="G2" s="206"/>
      <c r="I2" s="206"/>
    </row>
    <row r="3" spans="2:9" ht="18" customHeight="1" x14ac:dyDescent="0.35">
      <c r="B3" s="402" t="s">
        <v>105</v>
      </c>
      <c r="C3" s="402"/>
      <c r="D3" s="402"/>
      <c r="E3" s="402"/>
      <c r="F3" s="402"/>
      <c r="G3" s="402"/>
      <c r="H3" s="402"/>
      <c r="I3" s="402"/>
    </row>
    <row r="4" spans="2:9" ht="14" x14ac:dyDescent="0.3">
      <c r="B4" s="220"/>
      <c r="C4" s="220"/>
      <c r="D4" s="220"/>
      <c r="E4" s="220"/>
      <c r="F4" s="220"/>
      <c r="G4" s="220"/>
      <c r="H4" s="220"/>
    </row>
    <row r="5" spans="2:9" ht="14" x14ac:dyDescent="0.3">
      <c r="B5" s="347" t="s">
        <v>106</v>
      </c>
      <c r="C5" s="347"/>
      <c r="D5" s="347"/>
      <c r="E5" s="347"/>
      <c r="F5" s="347"/>
      <c r="G5" s="347"/>
      <c r="H5" s="347"/>
    </row>
    <row r="6" spans="2:9" ht="7" customHeight="1" x14ac:dyDescent="0.3">
      <c r="B6" s="220"/>
      <c r="C6" s="220"/>
      <c r="D6" s="220"/>
      <c r="E6" s="220"/>
      <c r="F6" s="220"/>
      <c r="G6" s="220"/>
      <c r="H6" s="220"/>
    </row>
    <row r="7" spans="2:9" ht="14" x14ac:dyDescent="0.3">
      <c r="B7" s="347" t="s">
        <v>107</v>
      </c>
      <c r="C7" s="347"/>
      <c r="D7" s="347"/>
      <c r="E7" s="347"/>
      <c r="F7" s="347"/>
      <c r="G7" s="347"/>
      <c r="H7" s="347"/>
    </row>
    <row r="8" spans="2:9" ht="7.5" customHeight="1" x14ac:dyDescent="0.3">
      <c r="B8" s="220"/>
      <c r="C8" s="220"/>
      <c r="D8" s="220"/>
      <c r="E8" s="220"/>
      <c r="F8" s="220"/>
      <c r="G8" s="220"/>
      <c r="H8" s="220"/>
    </row>
    <row r="9" spans="2:9" ht="32.25" customHeight="1" x14ac:dyDescent="0.3">
      <c r="B9" s="347" t="s">
        <v>108</v>
      </c>
      <c r="C9" s="347"/>
      <c r="D9" s="347"/>
      <c r="E9" s="347"/>
      <c r="F9" s="347"/>
      <c r="G9" s="347"/>
      <c r="H9" s="347"/>
      <c r="I9" s="347"/>
    </row>
    <row r="10" spans="2:9" x14ac:dyDescent="0.3">
      <c r="B10" s="30"/>
      <c r="C10" s="30"/>
      <c r="D10" s="30"/>
      <c r="E10" s="30"/>
      <c r="F10" s="30"/>
      <c r="G10" s="30"/>
      <c r="H10" s="30"/>
    </row>
    <row r="12" spans="2:9" ht="35.15" customHeight="1" x14ac:dyDescent="0.3">
      <c r="B12" s="45" t="s">
        <v>43</v>
      </c>
      <c r="C12" s="46" t="s">
        <v>44</v>
      </c>
    </row>
    <row r="13" spans="2:9" s="33" customFormat="1" ht="24" customHeight="1" x14ac:dyDescent="0.35">
      <c r="B13" s="26">
        <v>1</v>
      </c>
      <c r="C13" s="26">
        <f>VLOOKUP(B13,'Points Lookup'!G:H,2,0)</f>
        <v>69757</v>
      </c>
    </row>
    <row r="14" spans="2:9" s="33" customFormat="1" ht="24" customHeight="1" x14ac:dyDescent="0.35">
      <c r="B14" s="26">
        <v>2</v>
      </c>
      <c r="C14" s="26">
        <f>VLOOKUP(B14,'Points Lookup'!G:H,2,0)</f>
        <v>71130</v>
      </c>
    </row>
    <row r="15" spans="2:9" s="33" customFormat="1" ht="24" customHeight="1" x14ac:dyDescent="0.35">
      <c r="B15" s="26">
        <v>3</v>
      </c>
      <c r="C15" s="26">
        <f>VLOOKUP(B15,'Points Lookup'!G:H,2,0)</f>
        <v>72532</v>
      </c>
    </row>
    <row r="16" spans="2:9" s="33" customFormat="1" ht="24" customHeight="1" x14ac:dyDescent="0.35">
      <c r="B16" s="26">
        <v>4</v>
      </c>
      <c r="C16" s="26">
        <f>VLOOKUP(B16,'Points Lookup'!G:H,2,0)</f>
        <v>73961</v>
      </c>
    </row>
    <row r="17" spans="2:5" s="33" customFormat="1" ht="24" customHeight="1" x14ac:dyDescent="0.35">
      <c r="B17" s="26">
        <v>5</v>
      </c>
      <c r="C17" s="26">
        <f>VLOOKUP(B17,'Points Lookup'!G:H,2,0)</f>
        <v>75420</v>
      </c>
    </row>
    <row r="18" spans="2:5" s="33" customFormat="1" ht="24" customHeight="1" x14ac:dyDescent="0.35">
      <c r="B18" s="26">
        <v>6</v>
      </c>
      <c r="C18" s="26">
        <f>VLOOKUP(B18,'Points Lookup'!G:H,2,0)</f>
        <v>76906</v>
      </c>
    </row>
    <row r="19" spans="2:5" s="33" customFormat="1" ht="24" customHeight="1" x14ac:dyDescent="0.35">
      <c r="B19" s="26">
        <v>7</v>
      </c>
      <c r="C19" s="26">
        <f>VLOOKUP(B19,'Points Lookup'!G:H,2,0)</f>
        <v>78422</v>
      </c>
    </row>
    <row r="20" spans="2:5" s="33" customFormat="1" ht="24" customHeight="1" x14ac:dyDescent="0.35">
      <c r="B20" s="26">
        <v>8</v>
      </c>
      <c r="C20" s="26">
        <f>VLOOKUP(B20,'Points Lookup'!G:H,2,0)</f>
        <v>79968</v>
      </c>
    </row>
    <row r="21" spans="2:5" s="33" customFormat="1" ht="24" customHeight="1" x14ac:dyDescent="0.35">
      <c r="B21" s="26">
        <v>9</v>
      </c>
      <c r="C21" s="26">
        <f>VLOOKUP(B21,'Points Lookup'!G:H,2,0)</f>
        <v>81546</v>
      </c>
    </row>
    <row r="22" spans="2:5" s="33" customFormat="1" ht="24" customHeight="1" x14ac:dyDescent="0.35">
      <c r="B22" s="26">
        <v>10</v>
      </c>
      <c r="C22" s="26">
        <f>VLOOKUP(B22,'Points Lookup'!G:H,2,0)</f>
        <v>83155</v>
      </c>
    </row>
    <row r="23" spans="2:5" s="33" customFormat="1" ht="24" customHeight="1" x14ac:dyDescent="0.35">
      <c r="B23" s="26">
        <v>11</v>
      </c>
      <c r="C23" s="26">
        <f>VLOOKUP(B23,'Points Lookup'!G:H,2,0)</f>
        <v>84794</v>
      </c>
    </row>
    <row r="24" spans="2:5" s="33" customFormat="1" ht="24" customHeight="1" x14ac:dyDescent="0.35">
      <c r="B24" s="26">
        <v>12</v>
      </c>
      <c r="C24" s="26">
        <f>VLOOKUP(B24,'Points Lookup'!G:H,2,0)</f>
        <v>86471</v>
      </c>
    </row>
    <row r="25" spans="2:5" s="33" customFormat="1" ht="24" customHeight="1" x14ac:dyDescent="0.35">
      <c r="B25" s="26">
        <v>13</v>
      </c>
      <c r="C25" s="26">
        <f>VLOOKUP(B25,'Points Lookup'!G:H,2,0)</f>
        <v>88177</v>
      </c>
    </row>
    <row r="26" spans="2:5" s="33" customFormat="1" ht="24" customHeight="1" x14ac:dyDescent="0.35">
      <c r="B26" s="26">
        <v>14</v>
      </c>
      <c r="C26" s="26">
        <f>VLOOKUP(B26,'Points Lookup'!G:H,2,0)</f>
        <v>89920</v>
      </c>
    </row>
    <row r="27" spans="2:5" s="33" customFormat="1" ht="24" customHeight="1" x14ac:dyDescent="0.35">
      <c r="B27" s="26">
        <v>15</v>
      </c>
      <c r="C27" s="26">
        <f>VLOOKUP(B27,'Points Lookup'!G:H,2,0)</f>
        <v>91698</v>
      </c>
    </row>
    <row r="28" spans="2:5" s="33" customFormat="1" ht="24" customHeight="1" x14ac:dyDescent="0.35">
      <c r="B28" s="27">
        <v>16</v>
      </c>
      <c r="C28" s="27">
        <f>VLOOKUP(B28,'Points Lookup'!G:H,2,0)</f>
        <v>93509</v>
      </c>
    </row>
    <row r="29" spans="2:5" s="33" customFormat="1" ht="24" customHeight="1" x14ac:dyDescent="0.35">
      <c r="B29" s="44">
        <v>17</v>
      </c>
      <c r="C29" s="44">
        <f>VLOOKUP(B29,'Points Lookup'!G:H,2,0)</f>
        <v>95358</v>
      </c>
      <c r="D29" s="63" t="s">
        <v>109</v>
      </c>
      <c r="E29" s="63"/>
    </row>
    <row r="30" spans="2:5" s="33" customFormat="1" ht="24" customHeight="1" x14ac:dyDescent="0.35">
      <c r="B30" s="28">
        <v>18</v>
      </c>
      <c r="C30" s="28">
        <f>VLOOKUP(B30,'Points Lookup'!G:H,2,0)</f>
        <v>97242</v>
      </c>
    </row>
    <row r="31" spans="2:5" s="33" customFormat="1" ht="24" customHeight="1" x14ac:dyDescent="0.35">
      <c r="B31" s="26">
        <v>19</v>
      </c>
      <c r="C31" s="26">
        <f>VLOOKUP(B31,'Points Lookup'!G:H,2,0)</f>
        <v>99167</v>
      </c>
    </row>
    <row r="32" spans="2:5" s="33" customFormat="1" ht="24" customHeight="1" x14ac:dyDescent="0.35">
      <c r="B32" s="26">
        <v>20</v>
      </c>
      <c r="C32" s="26">
        <f>VLOOKUP(B32,'Points Lookup'!G:H,2,0)</f>
        <v>101128</v>
      </c>
    </row>
    <row r="33" spans="2:24" s="33" customFormat="1" ht="24" customHeight="1" x14ac:dyDescent="0.35">
      <c r="B33" s="26">
        <v>21</v>
      </c>
      <c r="C33" s="26">
        <f>VLOOKUP(B33,'Points Lookup'!G:H,2,0)</f>
        <v>103128</v>
      </c>
    </row>
    <row r="34" spans="2:24" s="33" customFormat="1" ht="24" customHeight="1" x14ac:dyDescent="0.35">
      <c r="B34" s="26">
        <v>22</v>
      </c>
      <c r="C34" s="26">
        <f>VLOOKUP(B34,'Points Lookup'!G:H,2,0)</f>
        <v>105169</v>
      </c>
    </row>
    <row r="35" spans="2:24" s="33" customFormat="1" ht="24" customHeight="1" x14ac:dyDescent="0.35">
      <c r="B35" s="26">
        <v>23</v>
      </c>
      <c r="C35" s="26">
        <f>VLOOKUP(B35,'Points Lookup'!G:H,2,0)</f>
        <v>107250</v>
      </c>
    </row>
    <row r="36" spans="2:24" s="33" customFormat="1" ht="24" customHeight="1" x14ac:dyDescent="0.35">
      <c r="B36" s="26">
        <v>24</v>
      </c>
      <c r="C36" s="26">
        <f>VLOOKUP(B36,'Points Lookup'!G:H,2,0)</f>
        <v>109373</v>
      </c>
    </row>
    <row r="37" spans="2:24" s="33" customFormat="1" ht="24" customHeight="1" x14ac:dyDescent="0.35">
      <c r="B37" s="26">
        <v>25</v>
      </c>
      <c r="C37" s="26">
        <f>VLOOKUP(B37,'Points Lookup'!G:H,2,0)</f>
        <v>111539</v>
      </c>
    </row>
    <row r="38" spans="2:24" s="33" customFormat="1" ht="24" customHeight="1" x14ac:dyDescent="0.35">
      <c r="B38" s="26">
        <v>26</v>
      </c>
      <c r="C38" s="26">
        <f>VLOOKUP(B38,'Points Lookup'!G:H,2,0)</f>
        <v>113746</v>
      </c>
    </row>
    <row r="40" spans="2:24" ht="78" customHeight="1" x14ac:dyDescent="0.3">
      <c r="B40" s="337" t="str">
        <f>"Effective date of pay award: "&amp;IF('Contents &amp; version control'!$D$23='Contents &amp; version control'!$D$25,TEXT('Contents &amp; version control'!$D$23,"D MMMM YYYY")&amp;".",TEXT('Contents &amp; version control'!$D$23,"D MMMM YYYY")&amp;" (UCU represented staff: "&amp;'Contents &amp; version control'!$C$23&amp;"), "&amp;TEXT('Contents &amp; version control'!$D$25,"D MMMM YYYY")&amp;" (Unite represented staff: "&amp;'Contents &amp; version control'!$C$25&amp;").")</f>
        <v>Effective date of pay award: 1 August 2024.</v>
      </c>
      <c r="C40" s="337"/>
      <c r="D40" s="337"/>
      <c r="E40" s="337"/>
      <c r="F40" s="337"/>
      <c r="G40" s="337"/>
      <c r="H40" s="337"/>
      <c r="I40" s="337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</row>
    <row r="41" spans="2:24" ht="15.5" x14ac:dyDescent="0.35">
      <c r="B41" s="120"/>
      <c r="C41" s="120"/>
      <c r="D41" s="120"/>
      <c r="E41" s="120"/>
      <c r="F41" s="120"/>
      <c r="G41" s="120"/>
      <c r="H41" s="120"/>
      <c r="I41" s="120"/>
    </row>
    <row r="42" spans="2:24" ht="23.25" customHeight="1" x14ac:dyDescent="0.3">
      <c r="B42" s="337" t="str">
        <f>"Document version: "&amp;'Contents &amp; version control'!$B$18</f>
        <v>Document version: 2024.4</v>
      </c>
      <c r="C42" s="337"/>
      <c r="D42" s="337"/>
      <c r="E42" s="337"/>
      <c r="F42" s="337"/>
      <c r="G42" s="337"/>
      <c r="H42" s="337"/>
      <c r="I42" s="337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</row>
  </sheetData>
  <sheetProtection algorithmName="SHA-512" hashValue="SPucJJLw12+PopLiO6M9BaqB3WwQ3ZYePa6ARczk0fqcLOXIXAyFLOFS1ZSZK3hH3iyL1dHvXdg4cUZA/SiSBw==" saltValue="uwtD4P3AXeBrK/VMxwFtZw==" spinCount="100000" sheet="1" objects="1" scenarios="1"/>
  <customSheetViews>
    <customSheetView guid="{DC156EF3-60B9-4D72-83CB-66DF98F35EAF}" showGridLines="0" fitToPage="1" topLeftCell="A10">
      <selection activeCell="G15" sqref="G15"/>
      <pageMargins left="0.7" right="0.7" top="0.75" bottom="0.75" header="0.3" footer="0.3"/>
      <pageSetup paperSize="9" scale="78" orientation="portrait" r:id="rId1"/>
    </customSheetView>
  </customSheetViews>
  <mergeCells count="6">
    <mergeCell ref="B3:I3"/>
    <mergeCell ref="B40:I40"/>
    <mergeCell ref="B42:I42"/>
    <mergeCell ref="B5:H5"/>
    <mergeCell ref="B7:H7"/>
    <mergeCell ref="B9:I9"/>
  </mergeCells>
  <pageMargins left="0.7" right="0.7" top="0.75" bottom="0.75" header="0.3" footer="0.3"/>
  <pageSetup paperSize="9" scale="7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F76F-D60A-4BE4-9A22-20751358CC2E}">
  <sheetPr codeName="Sheet9">
    <tabColor theme="4" tint="0.39997558519241921"/>
    <pageSetUpPr fitToPage="1"/>
  </sheetPr>
  <dimension ref="B1:I32"/>
  <sheetViews>
    <sheetView showGridLines="0" topLeftCell="A10" zoomScaleNormal="100" zoomScaleSheetLayoutView="85" zoomScalePageLayoutView="160" workbookViewId="0">
      <selection activeCell="F46" sqref="F46"/>
    </sheetView>
  </sheetViews>
  <sheetFormatPr defaultColWidth="9.1796875" defaultRowHeight="13.5" x14ac:dyDescent="0.3"/>
  <cols>
    <col min="1" max="1" width="6.7265625" style="23" customWidth="1"/>
    <col min="2" max="3" width="10.7265625" style="23" customWidth="1"/>
    <col min="4" max="5" width="10.7265625" style="29" customWidth="1"/>
    <col min="6" max="9" width="10.7265625" style="23" customWidth="1"/>
    <col min="10" max="16384" width="9.1796875" style="23"/>
  </cols>
  <sheetData>
    <row r="1" spans="2:9" ht="30" x14ac:dyDescent="0.3">
      <c r="B1" s="404" t="s">
        <v>104</v>
      </c>
      <c r="C1" s="404"/>
      <c r="D1" s="404"/>
      <c r="E1" s="404"/>
      <c r="F1" s="404"/>
      <c r="G1" s="404"/>
      <c r="H1" s="404"/>
      <c r="I1" s="404"/>
    </row>
    <row r="2" spans="2:9" ht="14" x14ac:dyDescent="0.3">
      <c r="B2" s="206"/>
      <c r="C2" s="206"/>
      <c r="D2" s="219"/>
      <c r="E2" s="219"/>
      <c r="F2" s="219"/>
      <c r="G2" s="206"/>
      <c r="I2" s="206"/>
    </row>
    <row r="3" spans="2:9" ht="18" customHeight="1" x14ac:dyDescent="0.35">
      <c r="B3" s="402" t="s">
        <v>105</v>
      </c>
      <c r="C3" s="402"/>
      <c r="D3" s="402"/>
      <c r="E3" s="402"/>
      <c r="F3" s="402"/>
      <c r="G3" s="402"/>
      <c r="H3" s="402"/>
      <c r="I3" s="402"/>
    </row>
    <row r="4" spans="2:9" ht="14" x14ac:dyDescent="0.3">
      <c r="C4" s="220"/>
      <c r="D4" s="220"/>
      <c r="E4" s="220"/>
      <c r="F4" s="220"/>
      <c r="G4" s="220"/>
      <c r="H4" s="220"/>
    </row>
    <row r="5" spans="2:9" ht="37.5" customHeight="1" x14ac:dyDescent="0.3">
      <c r="B5" s="405" t="s">
        <v>110</v>
      </c>
      <c r="C5" s="405"/>
      <c r="D5" s="405"/>
      <c r="E5" s="405"/>
      <c r="F5" s="405"/>
      <c r="G5" s="405"/>
      <c r="H5" s="405"/>
      <c r="I5" s="405"/>
    </row>
    <row r="6" spans="2:9" x14ac:dyDescent="0.3">
      <c r="C6" s="30"/>
      <c r="D6" s="30"/>
      <c r="E6" s="30"/>
      <c r="F6" s="30"/>
      <c r="G6" s="30"/>
      <c r="H6" s="30"/>
    </row>
    <row r="7" spans="2:9" x14ac:dyDescent="0.3">
      <c r="D7" s="23"/>
      <c r="E7" s="23"/>
    </row>
    <row r="8" spans="2:9" ht="35.15" customHeight="1" x14ac:dyDescent="0.3">
      <c r="B8" s="45" t="s">
        <v>111</v>
      </c>
      <c r="C8" s="45" t="s">
        <v>43</v>
      </c>
      <c r="D8" s="46" t="s">
        <v>44</v>
      </c>
      <c r="E8" s="23"/>
    </row>
    <row r="9" spans="2:9" ht="24" customHeight="1" x14ac:dyDescent="0.3">
      <c r="B9" s="403" t="s">
        <v>112</v>
      </c>
      <c r="C9" s="26">
        <v>1</v>
      </c>
      <c r="D9" s="26">
        <f>VLOOKUP(C9,'Points Lookup'!J:K,2,0)</f>
        <v>71822</v>
      </c>
      <c r="E9" s="23"/>
    </row>
    <row r="10" spans="2:9" ht="24" customHeight="1" x14ac:dyDescent="0.3">
      <c r="B10" s="403"/>
      <c r="C10" s="26">
        <v>2</v>
      </c>
      <c r="D10" s="26">
        <f>VLOOKUP(C10,'Points Lookup'!J:K,2,0)</f>
        <v>73950</v>
      </c>
      <c r="E10" s="23"/>
    </row>
    <row r="11" spans="2:9" ht="24" customHeight="1" x14ac:dyDescent="0.3">
      <c r="B11" s="403"/>
      <c r="C11" s="26">
        <v>3</v>
      </c>
      <c r="D11" s="26">
        <f>VLOOKUP(C11,'Points Lookup'!J:K,2,0)</f>
        <v>76142</v>
      </c>
      <c r="E11" s="23"/>
    </row>
    <row r="12" spans="2:9" ht="24" customHeight="1" x14ac:dyDescent="0.3">
      <c r="B12" s="403"/>
      <c r="C12" s="26">
        <v>4</v>
      </c>
      <c r="D12" s="26">
        <f>VLOOKUP(C12,'Points Lookup'!J:K,2,0)</f>
        <v>78399</v>
      </c>
      <c r="E12" s="23"/>
    </row>
    <row r="13" spans="2:9" ht="24" customHeight="1" x14ac:dyDescent="0.3">
      <c r="B13" s="403"/>
      <c r="C13" s="26">
        <v>5</v>
      </c>
      <c r="D13" s="26">
        <f>VLOOKUP(C13,'Points Lookup'!J:K,2,0)</f>
        <v>80724</v>
      </c>
      <c r="E13" s="23"/>
    </row>
    <row r="14" spans="2:9" ht="24" customHeight="1" x14ac:dyDescent="0.3">
      <c r="B14" s="403"/>
      <c r="C14" s="44">
        <v>6</v>
      </c>
      <c r="D14" s="44">
        <f>VLOOKUP(C14,'Points Lookup'!J:K,2,0)</f>
        <v>83119</v>
      </c>
      <c r="E14" s="137" t="s">
        <v>113</v>
      </c>
      <c r="F14" s="138"/>
    </row>
    <row r="15" spans="2:9" ht="24" customHeight="1" x14ac:dyDescent="0.3">
      <c r="B15" s="403" t="s">
        <v>114</v>
      </c>
      <c r="C15" s="26">
        <v>7</v>
      </c>
      <c r="D15" s="26">
        <f>VLOOKUP(C15,'Points Lookup'!J:K,2,0)</f>
        <v>85586</v>
      </c>
      <c r="E15" s="33"/>
      <c r="F15" s="33"/>
    </row>
    <row r="16" spans="2:9" ht="24" customHeight="1" x14ac:dyDescent="0.3">
      <c r="B16" s="403"/>
      <c r="C16" s="26">
        <v>8</v>
      </c>
      <c r="D16" s="26">
        <f>VLOOKUP(C16,'Points Lookup'!J:K,2,0)</f>
        <v>88127</v>
      </c>
      <c r="E16" s="33"/>
      <c r="F16" s="33"/>
    </row>
    <row r="17" spans="2:9" ht="24" customHeight="1" x14ac:dyDescent="0.3">
      <c r="B17" s="403"/>
      <c r="C17" s="26">
        <v>9</v>
      </c>
      <c r="D17" s="26">
        <f>VLOOKUP(C17,'Points Lookup'!J:K,2,0)</f>
        <v>90742</v>
      </c>
      <c r="E17" s="33"/>
      <c r="F17" s="33"/>
    </row>
    <row r="18" spans="2:9" ht="24" customHeight="1" x14ac:dyDescent="0.3">
      <c r="B18" s="403"/>
      <c r="C18" s="26">
        <v>10</v>
      </c>
      <c r="D18" s="26">
        <f>VLOOKUP(C18,'Points Lookup'!J:K,2,0)</f>
        <v>93438</v>
      </c>
      <c r="E18" s="33"/>
      <c r="F18" s="33"/>
    </row>
    <row r="19" spans="2:9" ht="24" customHeight="1" x14ac:dyDescent="0.3">
      <c r="B19" s="403"/>
      <c r="C19" s="26">
        <v>11</v>
      </c>
      <c r="D19" s="26">
        <f>VLOOKUP(C19,'Points Lookup'!J:K,2,0)</f>
        <v>96214</v>
      </c>
      <c r="E19" s="33"/>
      <c r="F19" s="33"/>
    </row>
    <row r="20" spans="2:9" ht="24" customHeight="1" x14ac:dyDescent="0.3">
      <c r="B20" s="403"/>
      <c r="C20" s="44">
        <v>12</v>
      </c>
      <c r="D20" s="44">
        <f>VLOOKUP(C20,'Points Lookup'!J:K,2,0)</f>
        <v>99073</v>
      </c>
      <c r="E20" s="137" t="s">
        <v>115</v>
      </c>
      <c r="F20" s="138"/>
    </row>
    <row r="21" spans="2:9" ht="24" customHeight="1" x14ac:dyDescent="0.3">
      <c r="B21" s="403" t="s">
        <v>116</v>
      </c>
      <c r="C21" s="26">
        <v>13</v>
      </c>
      <c r="D21" s="26">
        <f>VLOOKUP(C21,'Points Lookup'!J:K,2,0)</f>
        <v>102019</v>
      </c>
      <c r="E21" s="33"/>
      <c r="F21" s="33"/>
    </row>
    <row r="22" spans="2:9" ht="24" customHeight="1" x14ac:dyDescent="0.3">
      <c r="B22" s="403"/>
      <c r="C22" s="26">
        <v>14</v>
      </c>
      <c r="D22" s="26">
        <f>VLOOKUP(C22,'Points Lookup'!J:K,2,0)</f>
        <v>105053</v>
      </c>
      <c r="E22" s="33"/>
      <c r="F22" s="33"/>
    </row>
    <row r="23" spans="2:9" ht="24" customHeight="1" x14ac:dyDescent="0.3">
      <c r="B23" s="403"/>
      <c r="C23" s="26">
        <v>15</v>
      </c>
      <c r="D23" s="26">
        <f>VLOOKUP(C23,'Points Lookup'!J:K,2,0)</f>
        <v>108177</v>
      </c>
      <c r="E23" s="33"/>
      <c r="F23" s="33"/>
    </row>
    <row r="24" spans="2:9" ht="24" customHeight="1" x14ac:dyDescent="0.3">
      <c r="B24" s="403"/>
      <c r="C24" s="27">
        <v>16</v>
      </c>
      <c r="D24" s="27">
        <f>VLOOKUP(C24,'Points Lookup'!J:K,2,0)</f>
        <v>111395</v>
      </c>
      <c r="E24" s="33"/>
      <c r="F24" s="33"/>
    </row>
    <row r="25" spans="2:9" ht="24" customHeight="1" x14ac:dyDescent="0.3">
      <c r="B25" s="403"/>
      <c r="C25" s="26">
        <v>17</v>
      </c>
      <c r="D25" s="26">
        <f>VLOOKUP(C25,'Points Lookup'!J:K,2,0)</f>
        <v>114711</v>
      </c>
      <c r="E25" s="33"/>
      <c r="F25" s="33"/>
    </row>
    <row r="26" spans="2:9" ht="24" customHeight="1" x14ac:dyDescent="0.3">
      <c r="B26" s="403"/>
      <c r="C26" s="28">
        <v>18</v>
      </c>
      <c r="D26" s="28">
        <f>VLOOKUP(C26,'Points Lookup'!J:K,2,0)</f>
        <v>118125</v>
      </c>
      <c r="E26" s="33"/>
      <c r="F26" s="33"/>
    </row>
    <row r="27" spans="2:9" ht="24" customHeight="1" x14ac:dyDescent="0.3">
      <c r="B27" s="403"/>
      <c r="C27" s="44">
        <v>19</v>
      </c>
      <c r="D27" s="44">
        <f>VLOOKUP(C27,'Points Lookup'!J:K,2,0)</f>
        <v>121641</v>
      </c>
      <c r="E27" s="137" t="s">
        <v>117</v>
      </c>
      <c r="F27" s="138"/>
    </row>
    <row r="28" spans="2:9" ht="24" customHeight="1" x14ac:dyDescent="0.3">
      <c r="B28" s="136" t="s">
        <v>118</v>
      </c>
      <c r="C28" s="26">
        <v>20</v>
      </c>
      <c r="D28" s="26">
        <f>VLOOKUP(C28,'Points Lookup'!J:K,2,0)</f>
        <v>125263</v>
      </c>
      <c r="E28" s="139" t="s">
        <v>119</v>
      </c>
      <c r="F28" s="140"/>
    </row>
    <row r="29" spans="2:9" ht="28.5" customHeight="1" x14ac:dyDescent="0.3"/>
    <row r="30" spans="2:9" ht="46.5" customHeight="1" x14ac:dyDescent="0.3">
      <c r="B30" s="337" t="str">
        <f>"Effective date of pay award: "&amp;TEXT('Contents &amp; version control'!$D$23,"D MMMM YYYY")&amp;"."</f>
        <v>Effective date of pay award: 1 August 2024.</v>
      </c>
      <c r="C30" s="337"/>
      <c r="D30" s="337"/>
      <c r="E30" s="337"/>
      <c r="F30" s="337"/>
      <c r="G30" s="337"/>
      <c r="H30" s="337"/>
      <c r="I30" s="337"/>
    </row>
    <row r="31" spans="2:9" ht="15.5" x14ac:dyDescent="0.35">
      <c r="B31" s="120"/>
      <c r="C31" s="120"/>
      <c r="D31" s="120"/>
      <c r="E31" s="120"/>
      <c r="F31" s="120"/>
      <c r="G31" s="120"/>
      <c r="H31" s="120"/>
      <c r="I31" s="120"/>
    </row>
    <row r="32" spans="2:9" ht="23.25" customHeight="1" x14ac:dyDescent="0.3">
      <c r="B32" s="337" t="str">
        <f>"Document version: "&amp;'Contents &amp; version control'!$B$18</f>
        <v>Document version: 2024.4</v>
      </c>
      <c r="C32" s="337"/>
      <c r="D32" s="337"/>
      <c r="E32" s="337"/>
      <c r="F32" s="337"/>
      <c r="G32" s="337"/>
      <c r="H32" s="337"/>
      <c r="I32" s="337"/>
    </row>
  </sheetData>
  <sheetProtection algorithmName="SHA-512" hashValue="wrWGl0d53uMmINf2c39+eyjHDK/+J0bBWXruzfFvDUMcPAfnLKNra8HrgQEmysw/lwg7nfIzFEIc4jJY7T+gkA==" saltValue="IMVyep4Blhi0h3Yk8F6wSA==" spinCount="100000" sheet="1" objects="1" scenarios="1"/>
  <customSheetViews>
    <customSheetView guid="{DC156EF3-60B9-4D72-83CB-66DF98F35EAF}" showGridLines="0" fitToPage="1" topLeftCell="A6">
      <selection activeCell="C8" sqref="C8:D28"/>
      <pageMargins left="0.7" right="0.7" top="0.75" bottom="0.75" header="0.3" footer="0.3"/>
      <pageSetup paperSize="9" scale="98" orientation="portrait" r:id="rId1"/>
    </customSheetView>
  </customSheetViews>
  <mergeCells count="8">
    <mergeCell ref="B30:I30"/>
    <mergeCell ref="B32:I32"/>
    <mergeCell ref="B15:B20"/>
    <mergeCell ref="B21:B27"/>
    <mergeCell ref="B1:I1"/>
    <mergeCell ref="B9:B14"/>
    <mergeCell ref="B3:I3"/>
    <mergeCell ref="B5:I5"/>
  </mergeCells>
  <pageMargins left="0.7" right="0.7" top="0.75" bottom="0.75" header="0.3" footer="0.3"/>
  <pageSetup paperSize="9" scale="98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A7D8-7139-4842-B457-967BA077B438}">
  <sheetPr codeName="Sheet10">
    <tabColor theme="4" tint="0.39997558519241921"/>
    <pageSetUpPr fitToPage="1"/>
  </sheetPr>
  <dimension ref="B1:T51"/>
  <sheetViews>
    <sheetView showGridLines="0" topLeftCell="A39" zoomScale="115" zoomScaleNormal="115" workbookViewId="0">
      <selection activeCell="F46" sqref="F46"/>
    </sheetView>
  </sheetViews>
  <sheetFormatPr defaultColWidth="9.1796875" defaultRowHeight="13.5" x14ac:dyDescent="0.3"/>
  <cols>
    <col min="1" max="1" width="6.7265625" style="23" customWidth="1"/>
    <col min="2" max="2" width="11.1796875" style="23" customWidth="1"/>
    <col min="3" max="4" width="30.7265625" style="23" customWidth="1"/>
    <col min="5" max="5" width="10.7265625" style="23" customWidth="1"/>
    <col min="6" max="16384" width="9.1796875" style="23"/>
  </cols>
  <sheetData>
    <row r="1" spans="2:5" ht="30" x14ac:dyDescent="0.3">
      <c r="B1" s="62" t="s">
        <v>120</v>
      </c>
      <c r="C1" s="62"/>
      <c r="D1" s="62"/>
      <c r="E1" s="62"/>
    </row>
    <row r="2" spans="2:5" ht="14" x14ac:dyDescent="0.3">
      <c r="B2" s="206"/>
      <c r="C2" s="219"/>
      <c r="D2" s="206"/>
      <c r="E2" s="206"/>
    </row>
    <row r="3" spans="2:5" ht="17.5" x14ac:dyDescent="0.3">
      <c r="B3" s="177" t="s">
        <v>121</v>
      </c>
      <c r="C3" s="219"/>
      <c r="D3" s="206"/>
      <c r="E3" s="206"/>
    </row>
    <row r="4" spans="2:5" ht="14" x14ac:dyDescent="0.3">
      <c r="B4" s="347" t="s">
        <v>122</v>
      </c>
      <c r="C4" s="347"/>
      <c r="D4" s="347"/>
      <c r="E4" s="347"/>
    </row>
    <row r="5" spans="2:5" ht="35.15" customHeight="1" x14ac:dyDescent="0.3"/>
    <row r="6" spans="2:5" ht="18" customHeight="1" x14ac:dyDescent="0.35">
      <c r="B6" s="402" t="s">
        <v>123</v>
      </c>
      <c r="C6" s="402"/>
      <c r="D6" s="402"/>
      <c r="E6" s="402"/>
    </row>
    <row r="8" spans="2:5" ht="35.15" customHeight="1" x14ac:dyDescent="0.3">
      <c r="B8" s="45" t="s">
        <v>124</v>
      </c>
      <c r="C8" s="46" t="s">
        <v>44</v>
      </c>
      <c r="D8" s="46" t="s">
        <v>125</v>
      </c>
    </row>
    <row r="9" spans="2:5" s="33" customFormat="1" ht="30" customHeight="1" x14ac:dyDescent="0.35">
      <c r="B9" s="26">
        <v>1</v>
      </c>
      <c r="C9" s="26">
        <f>VLOOKUP(B9,'Points Lookup'!M:N,2,0)</f>
        <v>32398</v>
      </c>
      <c r="D9" s="133" t="s">
        <v>126</v>
      </c>
    </row>
    <row r="10" spans="2:5" s="33" customFormat="1" ht="30" customHeight="1" x14ac:dyDescent="0.35">
      <c r="B10" s="26">
        <v>2</v>
      </c>
      <c r="C10" s="26">
        <f>VLOOKUP(B10,'Points Lookup'!M:N,2,0)</f>
        <v>37303</v>
      </c>
      <c r="D10" s="133" t="s">
        <v>127</v>
      </c>
    </row>
    <row r="11" spans="2:5" s="33" customFormat="1" ht="35.15" customHeight="1" x14ac:dyDescent="0.35">
      <c r="B11" s="26">
        <v>3</v>
      </c>
      <c r="C11" s="26">
        <f>VLOOKUP(B11,'Points Lookup'!M:N,2,0)</f>
        <v>43923</v>
      </c>
      <c r="D11" s="134" t="s">
        <v>128</v>
      </c>
    </row>
    <row r="12" spans="2:5" s="33" customFormat="1" ht="50.15" customHeight="1" x14ac:dyDescent="0.35">
      <c r="B12" s="26">
        <v>4</v>
      </c>
      <c r="C12" s="26">
        <f>VLOOKUP(B12,'Points Lookup'!M:N,2,0)</f>
        <v>55329</v>
      </c>
      <c r="D12" s="134" t="s">
        <v>129</v>
      </c>
    </row>
    <row r="13" spans="2:5" s="33" customFormat="1" ht="50.15" customHeight="1" x14ac:dyDescent="0.35">
      <c r="B13" s="26">
        <v>5</v>
      </c>
      <c r="C13" s="26">
        <f>VLOOKUP(B13,'Points Lookup'!M:N,2,0)</f>
        <v>63152</v>
      </c>
      <c r="D13" s="134" t="s">
        <v>130</v>
      </c>
    </row>
    <row r="14" spans="2:5" s="33" customFormat="1" ht="35.15" customHeight="1" x14ac:dyDescent="0.35"/>
    <row r="15" spans="2:5" s="33" customFormat="1" ht="24" customHeight="1" x14ac:dyDescent="0.35">
      <c r="B15" s="402" t="s">
        <v>131</v>
      </c>
      <c r="C15" s="402"/>
      <c r="D15" s="402"/>
      <c r="E15" s="402"/>
    </row>
    <row r="16" spans="2:5" s="33" customFormat="1" ht="24" customHeight="1" x14ac:dyDescent="0.35"/>
    <row r="17" spans="2:5" s="33" customFormat="1" ht="35.15" customHeight="1" x14ac:dyDescent="0.35">
      <c r="B17" s="45" t="s">
        <v>43</v>
      </c>
      <c r="C17" s="46" t="s">
        <v>44</v>
      </c>
    </row>
    <row r="18" spans="2:5" s="33" customFormat="1" ht="24" customHeight="1" x14ac:dyDescent="0.35">
      <c r="B18" s="26">
        <v>1</v>
      </c>
      <c r="C18" s="26">
        <f>VLOOKUP(B18,'Points Lookup'!P:Q,2,0)</f>
        <v>38619</v>
      </c>
    </row>
    <row r="19" spans="2:5" s="33" customFormat="1" ht="24" customHeight="1" x14ac:dyDescent="0.35">
      <c r="B19" s="26">
        <v>2</v>
      </c>
      <c r="C19" s="26">
        <f>VLOOKUP(B19,'Points Lookup'!P:Q,2,0)</f>
        <v>40470</v>
      </c>
    </row>
    <row r="20" spans="2:5" s="33" customFormat="1" ht="24" customHeight="1" x14ac:dyDescent="0.35">
      <c r="B20" s="26">
        <v>3</v>
      </c>
      <c r="C20" s="26">
        <f>VLOOKUP(B20,'Points Lookup'!P:Q,2,0)</f>
        <v>42321</v>
      </c>
    </row>
    <row r="21" spans="2:5" s="33" customFormat="1" ht="24" customHeight="1" x14ac:dyDescent="0.35">
      <c r="B21" s="26">
        <v>4</v>
      </c>
      <c r="C21" s="26">
        <f>VLOOKUP(B21,'Points Lookup'!P:Q,2,0)</f>
        <v>44171</v>
      </c>
    </row>
    <row r="22" spans="2:5" s="33" customFormat="1" ht="24" customHeight="1" x14ac:dyDescent="0.35">
      <c r="B22" s="26">
        <v>5</v>
      </c>
      <c r="C22" s="26">
        <f>VLOOKUP(B22,'Points Lookup'!P:Q,2,0)</f>
        <v>46404</v>
      </c>
    </row>
    <row r="23" spans="2:5" s="33" customFormat="1" ht="24" customHeight="1" x14ac:dyDescent="0.35">
      <c r="B23" s="26">
        <v>6</v>
      </c>
      <c r="C23" s="26">
        <f>VLOOKUP(B23,'Points Lookup'!P:Q,2,0)</f>
        <v>48637</v>
      </c>
    </row>
    <row r="24" spans="2:5" s="33" customFormat="1" ht="24" customHeight="1" x14ac:dyDescent="0.35">
      <c r="B24" s="26">
        <v>7</v>
      </c>
      <c r="C24" s="26">
        <f>VLOOKUP(B24,'Points Lookup'!P:Q,2,0)</f>
        <v>50871</v>
      </c>
    </row>
    <row r="25" spans="2:5" s="33" customFormat="1" ht="24" customHeight="1" x14ac:dyDescent="0.35">
      <c r="B25" s="26">
        <v>8</v>
      </c>
      <c r="C25" s="26">
        <f>VLOOKUP(B25,'Points Lookup'!P:Q,2,0)</f>
        <v>53103</v>
      </c>
    </row>
    <row r="26" spans="2:5" s="33" customFormat="1" ht="24" customHeight="1" x14ac:dyDescent="0.35">
      <c r="B26" s="26">
        <v>9</v>
      </c>
      <c r="C26" s="26">
        <f>VLOOKUP(B26,'Points Lookup'!P:Q,2,0)</f>
        <v>55336</v>
      </c>
    </row>
    <row r="27" spans="2:5" s="33" customFormat="1" ht="24" customHeight="1" x14ac:dyDescent="0.35">
      <c r="B27" s="26">
        <v>10</v>
      </c>
      <c r="C27" s="26">
        <f>VLOOKUP(B27,'Points Lookup'!P:Q,2,0)</f>
        <v>61142</v>
      </c>
    </row>
    <row r="28" spans="2:5" s="33" customFormat="1" ht="24" customHeight="1" x14ac:dyDescent="0.35">
      <c r="B28" s="26">
        <v>11</v>
      </c>
      <c r="C28" s="26">
        <f>VLOOKUP(B28,'Points Lookup'!P:Q,2,0)</f>
        <v>65955</v>
      </c>
    </row>
    <row r="29" spans="2:5" s="33" customFormat="1" ht="35.15" customHeight="1" x14ac:dyDescent="0.35"/>
    <row r="30" spans="2:5" s="33" customFormat="1" ht="24" customHeight="1" x14ac:dyDescent="0.35">
      <c r="B30" s="402" t="s">
        <v>132</v>
      </c>
      <c r="C30" s="402"/>
      <c r="D30" s="402"/>
      <c r="E30" s="402"/>
    </row>
    <row r="31" spans="2:5" s="33" customFormat="1" ht="24" customHeight="1" x14ac:dyDescent="0.35"/>
    <row r="32" spans="2:5" s="33" customFormat="1" ht="35.15" customHeight="1" x14ac:dyDescent="0.35">
      <c r="B32" s="45" t="s">
        <v>349</v>
      </c>
      <c r="C32" s="45" t="s">
        <v>350</v>
      </c>
      <c r="D32" s="46" t="s">
        <v>134</v>
      </c>
    </row>
    <row r="33" spans="2:4" s="33" customFormat="1" ht="24" customHeight="1" x14ac:dyDescent="0.35">
      <c r="B33" s="26">
        <v>1</v>
      </c>
      <c r="C33" s="26">
        <v>1</v>
      </c>
      <c r="D33" s="26">
        <f>VLOOKUP(B33,'Points Lookup'!S:T,2,0)</f>
        <v>105504</v>
      </c>
    </row>
    <row r="34" spans="2:4" s="33" customFormat="1" ht="24" customHeight="1" x14ac:dyDescent="0.35">
      <c r="B34" s="26">
        <v>2</v>
      </c>
      <c r="C34" s="26" t="s">
        <v>351</v>
      </c>
      <c r="D34" s="26">
        <f>VLOOKUP(B34,'Points Lookup'!S:T,2,0)</f>
        <v>111714</v>
      </c>
    </row>
    <row r="35" spans="2:4" s="33" customFormat="1" ht="24" customHeight="1" x14ac:dyDescent="0.35">
      <c r="B35" s="27">
        <v>3</v>
      </c>
      <c r="C35" s="27" t="s">
        <v>352</v>
      </c>
      <c r="D35" s="26">
        <f>VLOOKUP(B35,'Points Lookup'!S:T,2,0)</f>
        <v>114894</v>
      </c>
    </row>
    <row r="36" spans="2:4" s="33" customFormat="1" ht="24" customHeight="1" x14ac:dyDescent="0.35">
      <c r="B36" s="26">
        <v>4</v>
      </c>
      <c r="C36" s="26">
        <v>3</v>
      </c>
      <c r="D36" s="26">
        <f>VLOOKUP(B36,'Points Lookup'!S:T,2,0)</f>
        <v>126018</v>
      </c>
    </row>
    <row r="37" spans="2:4" s="33" customFormat="1" ht="24" customHeight="1" x14ac:dyDescent="0.35">
      <c r="B37" s="28">
        <v>5</v>
      </c>
      <c r="C37" s="28">
        <v>4</v>
      </c>
      <c r="D37" s="26">
        <f>VLOOKUP(B37,'Points Lookup'!S:T,2,0)</f>
        <v>139882</v>
      </c>
    </row>
    <row r="40" spans="2:4" ht="24" customHeight="1" x14ac:dyDescent="0.3">
      <c r="B40" s="45" t="s">
        <v>349</v>
      </c>
      <c r="C40" s="45" t="s">
        <v>354</v>
      </c>
      <c r="D40" s="46" t="s">
        <v>135</v>
      </c>
    </row>
    <row r="41" spans="2:4" ht="24" customHeight="1" x14ac:dyDescent="0.3">
      <c r="B41" s="26">
        <v>1</v>
      </c>
      <c r="C41" s="26" t="s">
        <v>211</v>
      </c>
      <c r="D41" s="26">
        <f>IFERROR(VLOOKUP(B33+18,'Points Lookup'!P:Q,2,0),"-")</f>
        <v>82435</v>
      </c>
    </row>
    <row r="42" spans="2:4" ht="24" customHeight="1" x14ac:dyDescent="0.3">
      <c r="B42" s="26">
        <v>2</v>
      </c>
      <c r="C42" s="26" t="s">
        <v>355</v>
      </c>
      <c r="D42" s="26">
        <f>IFERROR(VLOOKUP(B34+18,'Points Lookup'!P:Q,2,0),"-")</f>
        <v>88334</v>
      </c>
    </row>
    <row r="43" spans="2:4" ht="24" customHeight="1" x14ac:dyDescent="0.3">
      <c r="B43" s="27">
        <v>3</v>
      </c>
      <c r="C43" s="27" t="s">
        <v>356</v>
      </c>
      <c r="D43" s="26">
        <f>IFERROR(VLOOKUP(B35+18,'Points Lookup'!P:Q,2,0),"-")</f>
        <v>94234</v>
      </c>
    </row>
    <row r="44" spans="2:4" ht="24" customHeight="1" x14ac:dyDescent="0.3">
      <c r="B44" s="26">
        <v>4</v>
      </c>
      <c r="C44" s="26" t="s">
        <v>357</v>
      </c>
      <c r="D44" s="26">
        <f>IFERROR(VLOOKUP(B36+18,'Points Lookup'!P:Q,2,0),"-")</f>
        <v>100132</v>
      </c>
    </row>
    <row r="45" spans="2:4" ht="24" customHeight="1" x14ac:dyDescent="0.3">
      <c r="B45" s="28">
        <v>5</v>
      </c>
      <c r="C45" s="28" t="s">
        <v>358</v>
      </c>
      <c r="D45" s="26">
        <f>IFERROR(VLOOKUP(B37+18,'Points Lookup'!P:Q,2,0),"-")</f>
        <v>106859</v>
      </c>
    </row>
    <row r="49" spans="2:20" ht="78" customHeight="1" x14ac:dyDescent="0.3">
      <c r="B49" s="337" t="str">
        <f>_xlfn.CONCAT("Effective date of pay award: ",
IF('Contents &amp; version control'!$D$27='Contents &amp; version control'!$D$28,
TEXT('Contents &amp; version control'!$D$27,"D MMMM YYYY"),
TEXT('Contents &amp; version control'!$D$27,"D MMMM YYYY")&amp;" ("&amp;'Contents &amp; version control'!$C$27&amp;"), "&amp;TEXT('Contents &amp; version control'!$D$28,"D MMMM YYYY")&amp;" ("&amp;'Contents &amp; version control'!$C$28&amp;")"),".")</f>
        <v>Effective date of pay award: 1 April 2023 (Doctors in training, medical research fellows, clinical lecturers), 1 April 2024 (Clinical consultants).</v>
      </c>
      <c r="C49" s="337"/>
      <c r="D49" s="337"/>
      <c r="E49" s="337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</row>
    <row r="50" spans="2:20" ht="15.5" x14ac:dyDescent="0.35">
      <c r="B50" s="120"/>
      <c r="C50" s="120"/>
      <c r="D50" s="120"/>
      <c r="E50" s="120"/>
    </row>
    <row r="51" spans="2:20" ht="23.25" customHeight="1" x14ac:dyDescent="0.3">
      <c r="B51" s="337" t="str">
        <f>"Document version: "&amp;'Contents &amp; version control'!$B$18</f>
        <v>Document version: 2024.4</v>
      </c>
      <c r="C51" s="337"/>
      <c r="D51" s="337"/>
      <c r="E51" s="337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</row>
  </sheetData>
  <sheetProtection algorithmName="SHA-512" hashValue="PkwrRmYHlthtEvJSlQF+5pXSAESLwJ/cRZy73t2mRd2OeQovnpiFZWJCewKYKooOU0MFlmi0An4wiIYScLRw4A==" saltValue="xGFwmZaHUYbUGcvS/z0pWg==" spinCount="100000" sheet="1" objects="1" scenarios="1"/>
  <customSheetViews>
    <customSheetView guid="{DC156EF3-60B9-4D72-83CB-66DF98F35EAF}" scale="115" showGridLines="0" fitToPage="1">
      <selection activeCell="D37" sqref="D37"/>
      <pageMargins left="0.7" right="0.7" top="0.75" bottom="0.75" header="0.3" footer="0.3"/>
      <pageSetup paperSize="9" scale="63" orientation="portrait" r:id="rId1"/>
    </customSheetView>
  </customSheetViews>
  <mergeCells count="6">
    <mergeCell ref="B30:E30"/>
    <mergeCell ref="B49:E49"/>
    <mergeCell ref="B51:E51"/>
    <mergeCell ref="B4:E4"/>
    <mergeCell ref="B6:E6"/>
    <mergeCell ref="B15:E15"/>
  </mergeCells>
  <pageMargins left="0.7" right="0.7" top="0.75" bottom="0.75" header="0.3" footer="0.3"/>
  <pageSetup paperSize="9" scale="63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33AF-3A53-42B2-ADE3-4EC233C08D9D}">
  <sheetPr codeName="Sheet13">
    <tabColor theme="4" tint="0.39997558519241921"/>
  </sheetPr>
  <dimension ref="A1:O177"/>
  <sheetViews>
    <sheetView showGridLines="0" tabSelected="1" topLeftCell="A38" zoomScaleNormal="100" zoomScaleSheetLayoutView="100" workbookViewId="0">
      <selection activeCell="C53" sqref="C53"/>
    </sheetView>
  </sheetViews>
  <sheetFormatPr defaultColWidth="9.1796875" defaultRowHeight="14" x14ac:dyDescent="0.35"/>
  <cols>
    <col min="1" max="1" width="6.7265625" style="24" customWidth="1"/>
    <col min="2" max="2" width="11.1796875" style="24" customWidth="1"/>
    <col min="3" max="3" width="20.7265625" style="24" customWidth="1"/>
    <col min="4" max="4" width="6.7265625" style="24" customWidth="1"/>
    <col min="5" max="5" width="33" style="24" customWidth="1"/>
    <col min="6" max="6" width="22.7265625" style="24" customWidth="1"/>
    <col min="7" max="7" width="30.54296875" style="24" customWidth="1"/>
    <col min="8" max="16384" width="9.1796875" style="24"/>
  </cols>
  <sheetData>
    <row r="1" spans="2:6" ht="35" x14ac:dyDescent="0.35">
      <c r="B1" s="187" t="s">
        <v>10</v>
      </c>
      <c r="C1" s="181"/>
      <c r="D1" s="181"/>
      <c r="E1" s="181"/>
    </row>
    <row r="2" spans="2:6" ht="20.25" customHeight="1" x14ac:dyDescent="0.35">
      <c r="B2" s="187"/>
      <c r="C2" s="181"/>
      <c r="D2" s="181"/>
      <c r="E2" s="181"/>
    </row>
    <row r="3" spans="2:6" ht="17.5" x14ac:dyDescent="0.35">
      <c r="B3" s="159" t="s">
        <v>345</v>
      </c>
      <c r="C3" s="159"/>
      <c r="D3" s="159"/>
      <c r="E3" s="159"/>
    </row>
    <row r="4" spans="2:6" x14ac:dyDescent="0.3">
      <c r="B4" s="266" t="s">
        <v>343</v>
      </c>
      <c r="C4" s="266"/>
      <c r="D4" s="266"/>
      <c r="E4" s="266"/>
    </row>
    <row r="5" spans="2:6" x14ac:dyDescent="0.3">
      <c r="B5" s="266" t="s">
        <v>344</v>
      </c>
      <c r="C5" s="266"/>
      <c r="D5" s="266"/>
      <c r="E5" s="266"/>
    </row>
    <row r="6" spans="2:6" x14ac:dyDescent="0.3">
      <c r="B6" s="266"/>
      <c r="C6" s="266"/>
      <c r="D6" s="266"/>
      <c r="E6" s="266"/>
    </row>
    <row r="7" spans="2:6" ht="24" customHeight="1" x14ac:dyDescent="0.35">
      <c r="B7" s="51" t="s">
        <v>43</v>
      </c>
      <c r="C7" s="51" t="s">
        <v>136</v>
      </c>
      <c r="D7" s="275"/>
      <c r="E7" s="276"/>
    </row>
    <row r="8" spans="2:6" ht="24" customHeight="1" x14ac:dyDescent="0.35">
      <c r="B8" s="128">
        <v>10</v>
      </c>
      <c r="C8" s="183">
        <f>IF(ABS(ROUND(SUMIF('Points Lookup'!$AJ:$AJ,B8,'Points Lookup'!$AK:$AK)/(52*39),2)-C24)&gt;0.01,"ERROR - hourly rate is more than 1p different from L1-3 value",C24)</f>
        <v>12.5</v>
      </c>
      <c r="D8" s="279"/>
      <c r="E8" s="320" t="s">
        <v>137</v>
      </c>
      <c r="F8" s="282"/>
    </row>
    <row r="9" spans="2:6" ht="24" customHeight="1" x14ac:dyDescent="0.35">
      <c r="B9" s="128">
        <v>11</v>
      </c>
      <c r="C9" s="183">
        <f>IF(ABS(ROUND(SUMIF('Points Lookup'!$AJ:$AJ,B9,'Points Lookup'!$AK:$AK)/(52*39),2)-C25)&gt;0.01,"ERROR - hourly rate is more than 1p different from L1-3 value",C25)</f>
        <v>12.7</v>
      </c>
      <c r="D9" s="280"/>
      <c r="E9" s="417"/>
    </row>
    <row r="10" spans="2:6" ht="24" customHeight="1" x14ac:dyDescent="0.35">
      <c r="B10" s="281">
        <v>12</v>
      </c>
      <c r="C10" s="283">
        <f>IF(ABS(ROUND(SUMIF('Points Lookup'!$AJ:$AJ,B10,'Points Lookup'!$AK:$AK)/(52*39),2)-C26)&gt;0.01,"ERROR - hourly rate is more than 1p different from L1-3 value",C26)</f>
        <v>12.87</v>
      </c>
      <c r="D10" s="418"/>
      <c r="E10" s="419"/>
    </row>
    <row r="11" spans="2:6" ht="24" customHeight="1" x14ac:dyDescent="0.35">
      <c r="B11" s="128">
        <v>13</v>
      </c>
      <c r="C11" s="183">
        <f>IF(ABS(ROUND(SUMIF('Points Lookup'!$AJ:$AJ,B11,'Points Lookup'!$AK:$AK)/(52*39),2)-C27)&gt;0.01,"ERROR - hourly rate is more than 1p different from L1-3 value",C27)</f>
        <v>13.12</v>
      </c>
      <c r="D11" s="415"/>
      <c r="E11" s="321" t="s">
        <v>138</v>
      </c>
    </row>
    <row r="12" spans="2:6" ht="24" customHeight="1" x14ac:dyDescent="0.35">
      <c r="B12" s="128">
        <v>14</v>
      </c>
      <c r="C12" s="183">
        <f>IF(ABS(ROUND(SUMIF('Points Lookup'!$AJ:$AJ,B12,'Points Lookup'!$AK:$AK)/(52*39),2)-C28)&gt;0.01,"ERROR - hourly rate is more than 1p different from L1-3 value",C28)</f>
        <v>13.39</v>
      </c>
      <c r="D12" s="415"/>
      <c r="E12" s="321"/>
    </row>
    <row r="13" spans="2:6" ht="24" customHeight="1" x14ac:dyDescent="0.35">
      <c r="B13" s="128">
        <v>15</v>
      </c>
      <c r="C13" s="183">
        <f>IF(ABS(ROUND(SUMIF('Points Lookup'!$AJ:$AJ,B13,'Points Lookup'!$AK:$AK)/(52*39),2)-C29)&gt;0.01,"ERROR - hourly rate is more than 1p different from L1-3 value",C29)</f>
        <v>13.64</v>
      </c>
      <c r="D13" s="415"/>
      <c r="E13" s="321"/>
    </row>
    <row r="14" spans="2:6" ht="24" customHeight="1" x14ac:dyDescent="0.35">
      <c r="B14" s="128">
        <v>16</v>
      </c>
      <c r="C14" s="183">
        <f>IF(ABS(ROUND(SUMIF('Points Lookup'!$AJ:$AJ,B14,'Points Lookup'!$AK:$AK)/(52*39),2)-C30)&gt;0.01,"ERROR - hourly rate is more than 1p different from L1-3 value",C30)</f>
        <v>13.98</v>
      </c>
      <c r="D14" s="415"/>
      <c r="E14" s="321"/>
    </row>
    <row r="15" spans="2:6" ht="24" customHeight="1" x14ac:dyDescent="0.35">
      <c r="B15" s="128">
        <v>17</v>
      </c>
      <c r="C15" s="183">
        <f>IF(ABS(ROUND(SUMIF('Points Lookup'!$AJ:$AJ,B15,'Points Lookup'!$AK:$AK)/(52*39),2)-C31)&gt;0.01,"ERROR - hourly rate is more than 1p different from L1-3 value",C31)</f>
        <v>14.31</v>
      </c>
      <c r="D15" s="416"/>
      <c r="E15" s="322"/>
    </row>
    <row r="16" spans="2:6" ht="18" customHeight="1" x14ac:dyDescent="0.35">
      <c r="B16" s="180"/>
      <c r="C16" s="180"/>
      <c r="D16" s="180"/>
      <c r="E16" s="180"/>
    </row>
    <row r="17" spans="1:6" ht="18" customHeight="1" x14ac:dyDescent="0.35">
      <c r="A17" s="35"/>
      <c r="B17" s="159" t="s">
        <v>347</v>
      </c>
      <c r="C17" s="159"/>
      <c r="D17" s="159"/>
      <c r="E17" s="159"/>
      <c r="F17" s="206"/>
    </row>
    <row r="18" spans="1:6" ht="18" customHeight="1" x14ac:dyDescent="0.3">
      <c r="A18" s="35"/>
      <c r="B18" s="266" t="s">
        <v>338</v>
      </c>
      <c r="C18" s="227"/>
      <c r="D18" s="227"/>
      <c r="E18" s="227"/>
      <c r="F18" s="206"/>
    </row>
    <row r="19" spans="1:6" ht="18" customHeight="1" x14ac:dyDescent="0.3">
      <c r="A19" s="35"/>
      <c r="B19" s="266" t="s">
        <v>346</v>
      </c>
      <c r="C19" s="227"/>
      <c r="D19" s="227"/>
      <c r="E19" s="227"/>
      <c r="F19" s="206"/>
    </row>
    <row r="20" spans="1:6" ht="18" customHeight="1" x14ac:dyDescent="0.3">
      <c r="A20" s="35"/>
      <c r="B20" s="228" t="str">
        <f>"* NLW: National Living Wage rate effective from "&amp;TEXT('Contents &amp; version control'!$D$26,"D MMMM YYYY")&amp;"."</f>
        <v>* NLW: National Living Wage rate effective from 1 April 2024.</v>
      </c>
      <c r="C20" s="227"/>
      <c r="D20" s="227"/>
      <c r="E20" s="227"/>
      <c r="F20" s="206"/>
    </row>
    <row r="21" spans="1:6" x14ac:dyDescent="0.35">
      <c r="A21" s="35"/>
      <c r="B21" s="35"/>
      <c r="C21" s="35"/>
      <c r="D21" s="35"/>
      <c r="E21" s="35"/>
      <c r="F21" s="206"/>
    </row>
    <row r="22" spans="1:6" s="31" customFormat="1" ht="30" customHeight="1" x14ac:dyDescent="0.35">
      <c r="A22" s="207"/>
      <c r="B22" s="51" t="s">
        <v>43</v>
      </c>
      <c r="C22" s="51" t="s">
        <v>136</v>
      </c>
      <c r="D22" s="207"/>
      <c r="E22" s="207"/>
      <c r="F22" s="207"/>
    </row>
    <row r="23" spans="1:6" ht="24" customHeight="1" x14ac:dyDescent="0.35">
      <c r="A23" s="206"/>
      <c r="B23" s="189" t="s">
        <v>140</v>
      </c>
      <c r="C23" s="191">
        <f>NMW</f>
        <v>11.44</v>
      </c>
      <c r="D23" s="207"/>
      <c r="E23" s="188" t="s">
        <v>141</v>
      </c>
      <c r="F23" s="190"/>
    </row>
    <row r="24" spans="1:6" ht="24" customHeight="1" x14ac:dyDescent="0.35">
      <c r="A24" s="206"/>
      <c r="B24" s="128">
        <v>10</v>
      </c>
      <c r="C24" s="183">
        <f>ROUND(SUMIF('Points Lookup'!$D:$D,B24,'Points Lookup'!$B:$B)/(52*36.25),2)</f>
        <v>12.5</v>
      </c>
      <c r="D24" s="285"/>
      <c r="E24" s="286"/>
      <c r="F24" s="412" t="s">
        <v>137</v>
      </c>
    </row>
    <row r="25" spans="1:6" ht="30" customHeight="1" x14ac:dyDescent="0.35">
      <c r="A25" s="206"/>
      <c r="B25" s="128">
        <v>11</v>
      </c>
      <c r="C25" s="183">
        <f>ROUND(SUMIF('Points Lookup'!$D:$D,B25,'Points Lookup'!$B:$B)/(52*36.25),2)</f>
        <v>12.7</v>
      </c>
      <c r="D25" s="284"/>
      <c r="E25" s="287"/>
      <c r="F25" s="414"/>
    </row>
    <row r="26" spans="1:6" ht="24" customHeight="1" x14ac:dyDescent="0.35">
      <c r="A26" s="206"/>
      <c r="B26" s="260">
        <v>12</v>
      </c>
      <c r="C26" s="274">
        <f>ROUND(SUMIF('Points Lookup'!$D:$D,B26,'Points Lookup'!$B:$B)/(52*36.25),2)</f>
        <v>12.87</v>
      </c>
      <c r="D26" s="267"/>
      <c r="E26" s="35"/>
      <c r="F26" s="206"/>
    </row>
    <row r="27" spans="1:6" ht="30" customHeight="1" x14ac:dyDescent="0.35">
      <c r="A27" s="206"/>
      <c r="B27" s="128">
        <v>13</v>
      </c>
      <c r="C27" s="269">
        <f>ROUND(SUMIF('Points Lookup'!$D:$D,B27,'Points Lookup'!$B:$B)/(52*36.25),2)</f>
        <v>13.12</v>
      </c>
      <c r="D27" s="272"/>
      <c r="E27" s="297" t="s">
        <v>339</v>
      </c>
      <c r="F27" s="412" t="s">
        <v>138</v>
      </c>
    </row>
    <row r="28" spans="1:6" ht="24" customHeight="1" x14ac:dyDescent="0.35">
      <c r="A28" s="206"/>
      <c r="B28" s="128">
        <v>14</v>
      </c>
      <c r="C28" s="269">
        <f>ROUND(SUMIF('Points Lookup'!$D:$D,B28,'Points Lookup'!$B:$B)/(52*36.25),2)</f>
        <v>13.39</v>
      </c>
      <c r="D28" s="196"/>
      <c r="E28" s="206"/>
      <c r="F28" s="413"/>
    </row>
    <row r="29" spans="1:6" ht="24" customHeight="1" x14ac:dyDescent="0.35">
      <c r="A29" s="206"/>
      <c r="B29" s="128">
        <v>15</v>
      </c>
      <c r="C29" s="269">
        <f>ROUND(SUMIF('Points Lookup'!$D:$D,B29,'Points Lookup'!$B:$B)/(52*36.25),2)</f>
        <v>13.64</v>
      </c>
      <c r="D29" s="229"/>
      <c r="E29" s="206"/>
      <c r="F29" s="413"/>
    </row>
    <row r="30" spans="1:6" ht="24" customHeight="1" x14ac:dyDescent="0.35">
      <c r="A30" s="206"/>
      <c r="B30" s="128">
        <v>16</v>
      </c>
      <c r="C30" s="269">
        <f>ROUND(SUMIF('Points Lookup'!$D:$D,B30,'Points Lookup'!$B:$B)/(52*36.25),2)</f>
        <v>13.98</v>
      </c>
      <c r="D30" s="213"/>
      <c r="E30" s="206"/>
      <c r="F30" s="413"/>
    </row>
    <row r="31" spans="1:6" ht="24" customHeight="1" x14ac:dyDescent="0.35">
      <c r="A31" s="206"/>
      <c r="B31" s="128">
        <v>17</v>
      </c>
      <c r="C31" s="269">
        <f>ROUND(SUMIF('Points Lookup'!$D:$D,B31,'Points Lookup'!$B:$B)/(52*36.25),2)</f>
        <v>14.31</v>
      </c>
      <c r="D31" s="213"/>
      <c r="E31" s="206"/>
      <c r="F31" s="413"/>
    </row>
    <row r="32" spans="1:6" ht="30" customHeight="1" x14ac:dyDescent="0.35">
      <c r="A32" s="206"/>
      <c r="B32" s="128">
        <v>18</v>
      </c>
      <c r="C32" s="269">
        <f>ROUND(SUMIF('Points Lookup'!$D:$D,B32,'Points Lookup'!$B:$B)/(52*36.25),2)</f>
        <v>14.71</v>
      </c>
      <c r="D32" s="218"/>
      <c r="E32" s="271"/>
      <c r="F32" s="414"/>
    </row>
    <row r="33" spans="2:6" ht="24" customHeight="1" x14ac:dyDescent="0.35">
      <c r="B33" s="260">
        <v>19</v>
      </c>
      <c r="C33" s="274">
        <f>ROUND(SUMIF('Points Lookup'!$D:$D,B33,'Points Lookup'!$B:$B)/(52*36.25),2)</f>
        <v>15.11</v>
      </c>
      <c r="D33" s="213"/>
      <c r="E33" s="206"/>
      <c r="F33" s="206"/>
    </row>
    <row r="34" spans="2:6" ht="30" customHeight="1" x14ac:dyDescent="0.35">
      <c r="B34" s="128">
        <v>20</v>
      </c>
      <c r="C34" s="183">
        <f>ROUND(SUMIF('Points Lookup'!$D:$D,B34,'Points Lookup'!$B:$B)/(52*36.25),2)</f>
        <v>15.56</v>
      </c>
      <c r="D34" s="223"/>
      <c r="E34" s="270" t="s">
        <v>341</v>
      </c>
      <c r="F34" s="412" t="s">
        <v>142</v>
      </c>
    </row>
    <row r="35" spans="2:6" ht="24" customHeight="1" x14ac:dyDescent="0.35">
      <c r="B35" s="128">
        <v>21</v>
      </c>
      <c r="C35" s="183">
        <f>ROUND(SUMIF('Points Lookup'!$D:$D,B35,'Points Lookup'!$B:$B)/(52*36.25),2)</f>
        <v>15.99</v>
      </c>
      <c r="D35" s="213"/>
      <c r="E35" s="206"/>
      <c r="F35" s="413"/>
    </row>
    <row r="36" spans="2:6" ht="24" customHeight="1" x14ac:dyDescent="0.35">
      <c r="B36" s="128">
        <v>22</v>
      </c>
      <c r="C36" s="183">
        <f>ROUND(SUMIF('Points Lookup'!$D:$D,B36,'Points Lookup'!$B:$B)/(52*36.25),2)</f>
        <v>16.46</v>
      </c>
      <c r="D36" s="213"/>
      <c r="E36" s="206"/>
      <c r="F36" s="413"/>
    </row>
    <row r="37" spans="2:6" ht="24" customHeight="1" x14ac:dyDescent="0.35">
      <c r="B37" s="128">
        <v>23</v>
      </c>
      <c r="C37" s="183">
        <f>ROUND(SUMIF('Points Lookup'!$D:$D,B37,'Points Lookup'!$B:$B)/(52*36.25),2)</f>
        <v>16.95</v>
      </c>
      <c r="D37" s="264"/>
      <c r="E37" s="188" t="s">
        <v>340</v>
      </c>
      <c r="F37" s="413"/>
    </row>
    <row r="38" spans="2:6" ht="24" customHeight="1" x14ac:dyDescent="0.35">
      <c r="B38" s="128">
        <v>24</v>
      </c>
      <c r="C38" s="183">
        <f>ROUND(SUMIF('Points Lookup'!$D:$D,B38,'Points Lookup'!$B:$B)/(52*36.25),2)</f>
        <v>17.46</v>
      </c>
      <c r="D38" s="213"/>
      <c r="E38" s="206"/>
      <c r="F38" s="413"/>
    </row>
    <row r="39" spans="2:6" ht="24" customHeight="1" x14ac:dyDescent="0.35">
      <c r="B39" s="128">
        <v>25</v>
      </c>
      <c r="C39" s="183">
        <f>ROUND(SUMIF('Points Lookup'!$D:$D,B39,'Points Lookup'!$B:$B)/(52*36.25),2)</f>
        <v>17.98</v>
      </c>
      <c r="D39" s="213"/>
      <c r="E39" s="206"/>
      <c r="F39" s="413"/>
    </row>
    <row r="40" spans="2:6" ht="24" customHeight="1" x14ac:dyDescent="0.35">
      <c r="B40" s="128">
        <v>26</v>
      </c>
      <c r="C40" s="183">
        <f>ROUND(SUMIF('Points Lookup'!$D:$D,B40,'Points Lookup'!$B:$B)/(52*36.25),2)</f>
        <v>18.52</v>
      </c>
      <c r="D40" s="182"/>
      <c r="E40" s="206"/>
      <c r="F40" s="413"/>
    </row>
    <row r="41" spans="2:6" ht="24" customHeight="1" x14ac:dyDescent="0.35">
      <c r="B41" s="128">
        <v>27</v>
      </c>
      <c r="C41" s="183">
        <f>ROUND(SUMIF('Points Lookup'!$D:$D,B41,'Points Lookup'!$B:$B)/(52*36.25),2)</f>
        <v>19.07</v>
      </c>
      <c r="D41" s="179"/>
      <c r="E41" s="214"/>
      <c r="F41" s="414"/>
    </row>
    <row r="42" spans="2:6" ht="35.15" customHeight="1" x14ac:dyDescent="0.35">
      <c r="B42" s="319"/>
      <c r="C42" s="319"/>
      <c r="D42" s="319"/>
      <c r="E42" s="319"/>
      <c r="F42" s="206"/>
    </row>
    <row r="43" spans="2:6" ht="17.5" x14ac:dyDescent="0.35">
      <c r="B43" s="159" t="s">
        <v>143</v>
      </c>
      <c r="C43" s="206"/>
      <c r="D43" s="206"/>
      <c r="E43" s="206"/>
      <c r="F43" s="206"/>
    </row>
    <row r="44" spans="2:6" x14ac:dyDescent="0.3">
      <c r="B44" s="227" t="s">
        <v>144</v>
      </c>
      <c r="C44" s="206"/>
      <c r="D44" s="206"/>
      <c r="E44" s="206"/>
      <c r="F44" s="206"/>
    </row>
    <row r="45" spans="2:6" x14ac:dyDescent="0.3">
      <c r="B45" s="227" t="s">
        <v>139</v>
      </c>
      <c r="C45" s="206"/>
      <c r="D45" s="206"/>
      <c r="E45" s="206"/>
      <c r="F45" s="206"/>
    </row>
    <row r="46" spans="2:6" x14ac:dyDescent="0.3">
      <c r="B46" s="227" t="s">
        <v>145</v>
      </c>
      <c r="C46" s="206"/>
      <c r="D46" s="206"/>
      <c r="E46" s="206"/>
      <c r="F46" s="206"/>
    </row>
    <row r="48" spans="2:6" ht="30" customHeight="1" x14ac:dyDescent="0.35">
      <c r="B48" s="51" t="s">
        <v>43</v>
      </c>
      <c r="C48" s="51" t="s">
        <v>136</v>
      </c>
      <c r="D48" s="206"/>
      <c r="E48" s="206"/>
      <c r="F48" s="206"/>
    </row>
    <row r="49" spans="2:7" ht="24" customHeight="1" x14ac:dyDescent="0.35">
      <c r="B49" s="128">
        <v>23</v>
      </c>
      <c r="C49" s="183">
        <f>ROUND(SUMIF('Points Lookup'!$A:$A,B49,'Points Lookup'!$E:$E)/(52*36.25),2)</f>
        <v>16.649999999999999</v>
      </c>
      <c r="D49" s="224"/>
      <c r="E49" s="398" t="s">
        <v>146</v>
      </c>
      <c r="F49" s="209"/>
      <c r="G49" s="293"/>
    </row>
    <row r="50" spans="2:7" ht="24" customHeight="1" x14ac:dyDescent="0.35">
      <c r="B50" s="128">
        <v>24</v>
      </c>
      <c r="C50" s="183">
        <f>ROUND(SUMIF('Points Lookup'!$A:$A,B50,'Points Lookup'!$E:$E)/(52*36.25),2)</f>
        <v>17.13</v>
      </c>
      <c r="D50" s="225"/>
      <c r="E50" s="399"/>
      <c r="F50" s="206"/>
      <c r="G50" s="294"/>
    </row>
    <row r="51" spans="2:7" ht="24" customHeight="1" x14ac:dyDescent="0.35">
      <c r="B51" s="221">
        <v>25</v>
      </c>
      <c r="C51" s="230">
        <f>ROUND(SUMIF('Points Lookup'!$A:$A,B51,'Points Lookup'!$E:$E)/(52*36.25),2)</f>
        <v>17.63</v>
      </c>
      <c r="D51" s="225"/>
      <c r="E51" s="399"/>
      <c r="F51" s="206"/>
      <c r="G51" s="294"/>
    </row>
    <row r="52" spans="2:7" ht="24" customHeight="1" x14ac:dyDescent="0.35">
      <c r="B52" s="128">
        <v>26</v>
      </c>
      <c r="C52" s="183">
        <f>ROUND(SUMIF('Points Lookup'!$A:$A,B52,'Points Lookup'!$E:$E)/(52*36.25),2)</f>
        <v>17.97</v>
      </c>
      <c r="D52" s="225"/>
      <c r="E52" s="399"/>
      <c r="F52" s="206"/>
      <c r="G52" s="294"/>
    </row>
    <row r="53" spans="2:7" ht="24" customHeight="1" x14ac:dyDescent="0.35">
      <c r="B53" s="128">
        <v>27</v>
      </c>
      <c r="C53" s="183">
        <f>ROUND(SUMIF('Points Lookup'!$A:$A,B53,'Points Lookup'!$E:$E)/(52*36.25),2)</f>
        <v>18.5</v>
      </c>
      <c r="D53" s="231"/>
      <c r="E53" s="410"/>
      <c r="F53" s="411" t="s">
        <v>147</v>
      </c>
      <c r="G53" s="294"/>
    </row>
    <row r="54" spans="2:7" ht="24" customHeight="1" x14ac:dyDescent="0.35">
      <c r="B54" s="128">
        <v>28</v>
      </c>
      <c r="C54" s="183">
        <f>ROUND(SUMIF('Points Lookup'!$A:$A,B54,'Points Lookup'!$E:$E)/(52*36.25),2)</f>
        <v>19.03</v>
      </c>
      <c r="D54" s="206"/>
      <c r="E54" s="206"/>
      <c r="F54" s="411"/>
      <c r="G54" s="294"/>
    </row>
    <row r="55" spans="2:7" ht="24" customHeight="1" x14ac:dyDescent="0.35">
      <c r="B55" s="128">
        <v>29</v>
      </c>
      <c r="C55" s="183">
        <f>ROUND(SUMIF('Points Lookup'!$A:$A,B55,'Points Lookup'!$E:$E)/(52*36.25),2)</f>
        <v>19.59</v>
      </c>
      <c r="D55" s="206"/>
      <c r="E55" s="206"/>
      <c r="F55" s="411"/>
      <c r="G55" s="294"/>
    </row>
    <row r="56" spans="2:7" ht="24" customHeight="1" x14ac:dyDescent="0.35">
      <c r="B56" s="128">
        <v>30</v>
      </c>
      <c r="C56" s="183">
        <f>ROUND(SUMIF('Points Lookup'!$A:$A,B56,'Points Lookup'!$E:$E)/(52*36.25),2)</f>
        <v>20.16</v>
      </c>
      <c r="D56" s="206"/>
      <c r="E56" s="206"/>
      <c r="F56" s="411"/>
      <c r="G56" s="294"/>
    </row>
    <row r="57" spans="2:7" ht="24" customHeight="1" x14ac:dyDescent="0.35">
      <c r="B57" s="128">
        <v>31</v>
      </c>
      <c r="C57" s="183">
        <f>ROUND(SUMIF('Points Lookup'!$A:$A,B57,'Points Lookup'!$E:$E)/(52*36.25),2)</f>
        <v>20.75</v>
      </c>
      <c r="D57" s="206"/>
      <c r="E57" s="206"/>
      <c r="F57" s="411"/>
      <c r="G57" s="294"/>
    </row>
    <row r="58" spans="2:7" ht="24" customHeight="1" x14ac:dyDescent="0.35">
      <c r="B58" s="128">
        <v>32</v>
      </c>
      <c r="C58" s="183">
        <f>ROUND(SUMIF('Points Lookup'!$A:$A,B58,'Points Lookup'!$E:$E)/(52*36.25),2)</f>
        <v>21.35</v>
      </c>
      <c r="D58" s="206"/>
      <c r="E58" s="206"/>
      <c r="F58" s="411"/>
      <c r="G58" s="294"/>
    </row>
    <row r="59" spans="2:7" ht="24" customHeight="1" x14ac:dyDescent="0.35">
      <c r="B59" s="128">
        <v>33</v>
      </c>
      <c r="C59" s="183">
        <f>ROUND(SUMIF('Points Lookup'!$A:$A,B59,'Points Lookup'!$E:$E)/(52*36.25),2)</f>
        <v>21.97</v>
      </c>
      <c r="D59" s="299"/>
      <c r="E59" s="300"/>
      <c r="F59" s="411"/>
      <c r="G59" s="406" t="s">
        <v>148</v>
      </c>
    </row>
    <row r="60" spans="2:7" ht="24" customHeight="1" x14ac:dyDescent="0.35">
      <c r="B60" s="128">
        <v>34</v>
      </c>
      <c r="C60" s="183">
        <f>ROUND(SUMIF('Points Lookup'!$A:$A,B60,'Points Lookup'!$E:$E)/(52*36.25),2)</f>
        <v>22.62</v>
      </c>
      <c r="D60" s="206"/>
      <c r="E60" s="263"/>
      <c r="F60" s="411"/>
      <c r="G60" s="407"/>
    </row>
    <row r="61" spans="2:7" ht="24" customHeight="1" x14ac:dyDescent="0.35">
      <c r="B61" s="128">
        <v>35</v>
      </c>
      <c r="C61" s="183">
        <f>ROUND(SUMIF('Points Lookup'!$A:$A,B61,'Points Lookup'!$E:$E)/(52*36.25),2)</f>
        <v>23.28</v>
      </c>
      <c r="D61" s="206"/>
      <c r="E61" s="263"/>
      <c r="F61" s="411"/>
      <c r="G61" s="408"/>
    </row>
    <row r="62" spans="2:7" ht="24" customHeight="1" x14ac:dyDescent="0.35">
      <c r="B62" s="128">
        <v>36</v>
      </c>
      <c r="C62" s="183">
        <f>ROUND(SUMIF('Points Lookup'!$A:$A,B62,'Points Lookup'!$E:$E)/(52*36.25),2)</f>
        <v>23.96</v>
      </c>
      <c r="D62" s="223"/>
      <c r="E62" s="188" t="s">
        <v>151</v>
      </c>
      <c r="F62" s="411"/>
      <c r="G62" s="398" t="s">
        <v>149</v>
      </c>
    </row>
    <row r="63" spans="2:7" ht="24" customHeight="1" x14ac:dyDescent="0.35">
      <c r="B63" s="128">
        <v>37</v>
      </c>
      <c r="C63" s="183">
        <f>ROUND(SUMIF('Points Lookup'!$A:$A,B63,'Points Lookup'!$E:$E)/(52*36.25),2)</f>
        <v>24.66</v>
      </c>
      <c r="D63" s="302"/>
      <c r="E63" s="303"/>
      <c r="F63" s="411"/>
      <c r="G63" s="399"/>
    </row>
    <row r="64" spans="2:7" ht="24" customHeight="1" x14ac:dyDescent="0.35">
      <c r="B64" s="128">
        <v>38</v>
      </c>
      <c r="C64" s="183">
        <f>ROUND(SUMIF('Points Lookup'!$A:$A,B64,'Points Lookup'!$E:$E)/(52*36.25),2)</f>
        <v>25.4</v>
      </c>
      <c r="D64" s="206"/>
      <c r="E64" s="292"/>
      <c r="F64" s="206"/>
      <c r="G64" s="399"/>
    </row>
    <row r="65" spans="2:7" ht="24" customHeight="1" x14ac:dyDescent="0.35">
      <c r="B65" s="128">
        <v>39</v>
      </c>
      <c r="C65" s="183">
        <f>ROUND(SUMIF('Points Lookup'!$A:$A,B65,'Points Lookup'!$E:$E)/(52*36.25),2)</f>
        <v>26.13</v>
      </c>
      <c r="D65" s="206"/>
      <c r="E65" s="292"/>
      <c r="F65" s="206"/>
      <c r="G65" s="399"/>
    </row>
    <row r="66" spans="2:7" ht="24" customHeight="1" x14ac:dyDescent="0.35">
      <c r="B66" s="128">
        <v>40</v>
      </c>
      <c r="C66" s="183">
        <f>ROUND(SUMIF('Points Lookup'!$A:$A,B66,'Points Lookup'!$E:$E)/(52*36.25),2)</f>
        <v>26.89</v>
      </c>
      <c r="D66" s="206"/>
      <c r="E66" s="292"/>
      <c r="F66" s="206"/>
      <c r="G66" s="399"/>
    </row>
    <row r="67" spans="2:7" ht="24" customHeight="1" x14ac:dyDescent="0.35">
      <c r="B67" s="128">
        <v>41</v>
      </c>
      <c r="C67" s="183">
        <f>ROUND(SUMIF('Points Lookup'!$A:$A,B67,'Points Lookup'!$E:$E)/(52*36.25),2)</f>
        <v>27.68</v>
      </c>
      <c r="D67" s="206"/>
      <c r="E67" s="292"/>
      <c r="F67" s="206"/>
      <c r="G67" s="399"/>
    </row>
    <row r="68" spans="2:7" ht="24" customHeight="1" x14ac:dyDescent="0.35">
      <c r="B68" s="128">
        <v>42</v>
      </c>
      <c r="C68" s="183">
        <f>ROUND(SUMIF('Points Lookup'!$A:$A,B68,'Points Lookup'!$E:$E)/(52*36.25),2)</f>
        <v>28.5</v>
      </c>
      <c r="D68" s="206"/>
      <c r="E68" s="292"/>
      <c r="F68" s="206"/>
      <c r="G68" s="399"/>
    </row>
    <row r="69" spans="2:7" ht="24" customHeight="1" x14ac:dyDescent="0.35">
      <c r="B69" s="128">
        <v>43</v>
      </c>
      <c r="C69" s="183">
        <f>ROUND(SUMIF('Points Lookup'!$A:$A,B69,'Points Lookup'!$E:$E)/(52*36.25),2)</f>
        <v>29.33</v>
      </c>
      <c r="D69" s="206"/>
      <c r="E69" s="292"/>
      <c r="F69" s="206"/>
      <c r="G69" s="399"/>
    </row>
    <row r="70" spans="2:7" ht="24" customHeight="1" x14ac:dyDescent="0.35">
      <c r="B70" s="128">
        <v>44</v>
      </c>
      <c r="C70" s="183">
        <f>ROUND(SUMIF('Points Lookup'!$A:$A,B70,'Points Lookup'!$E:$E)/(52*36.25),2)</f>
        <v>30.2</v>
      </c>
      <c r="D70" s="206"/>
      <c r="E70" s="292"/>
      <c r="F70" s="206"/>
      <c r="G70" s="400"/>
    </row>
    <row r="71" spans="2:7" ht="24" customHeight="1" x14ac:dyDescent="0.35">
      <c r="B71" s="128">
        <v>45</v>
      </c>
      <c r="C71" s="183">
        <f>ROUND(SUMIF('Points Lookup'!$A:$A,B71,'Points Lookup'!$E:$E)/(52*36.25),2)</f>
        <v>31.09</v>
      </c>
      <c r="D71" s="299"/>
      <c r="E71" s="301"/>
      <c r="F71" s="411" t="s">
        <v>150</v>
      </c>
      <c r="G71" s="294"/>
    </row>
    <row r="72" spans="2:7" ht="24" customHeight="1" x14ac:dyDescent="0.35">
      <c r="B72" s="128">
        <v>46</v>
      </c>
      <c r="C72" s="183">
        <f>ROUND(SUMIF('Points Lookup'!$A:$A,B72,'Points Lookup'!$E:$E)/(52*36.25),2)</f>
        <v>32</v>
      </c>
      <c r="D72" s="206"/>
      <c r="E72" s="206"/>
      <c r="F72" s="411"/>
      <c r="G72" s="294"/>
    </row>
    <row r="73" spans="2:7" ht="24" customHeight="1" x14ac:dyDescent="0.35">
      <c r="B73" s="128">
        <v>47</v>
      </c>
      <c r="C73" s="183">
        <f>ROUND(SUMIF('Points Lookup'!$A:$A,B73,'Points Lookup'!$E:$E)/(52*36.25),2)</f>
        <v>32.94</v>
      </c>
      <c r="D73" s="206"/>
      <c r="E73" s="206"/>
      <c r="F73" s="411"/>
      <c r="G73" s="294"/>
    </row>
    <row r="74" spans="2:7" ht="24" customHeight="1" x14ac:dyDescent="0.35">
      <c r="B74" s="128">
        <v>48</v>
      </c>
      <c r="C74" s="183">
        <f>ROUND(SUMIF('Points Lookup'!$A:$A,B74,'Points Lookup'!$E:$E)/(52*36.25),2)</f>
        <v>33.909999999999997</v>
      </c>
      <c r="D74" s="206"/>
      <c r="E74" s="206"/>
      <c r="F74" s="411"/>
      <c r="G74" s="294"/>
    </row>
    <row r="75" spans="2:7" ht="24" customHeight="1" x14ac:dyDescent="0.35">
      <c r="B75" s="128">
        <v>49</v>
      </c>
      <c r="C75" s="183">
        <f>ROUND(SUMIF('Points Lookup'!$A:$A,B75,'Points Lookup'!$E:$E)/(52*36.25),2)</f>
        <v>34.909999999999997</v>
      </c>
      <c r="D75" s="206"/>
      <c r="E75" s="206"/>
      <c r="F75" s="411"/>
      <c r="G75" s="294"/>
    </row>
    <row r="76" spans="2:7" ht="24" customHeight="1" x14ac:dyDescent="0.35">
      <c r="B76" s="128">
        <v>50</v>
      </c>
      <c r="C76" s="183">
        <f>ROUND(SUMIF('Points Lookup'!$A:$A,B76,'Points Lookup'!$E:$E)/(52*36.25),2)</f>
        <v>35.950000000000003</v>
      </c>
      <c r="D76" s="206"/>
      <c r="E76" s="206"/>
      <c r="F76" s="411"/>
      <c r="G76" s="294"/>
    </row>
    <row r="77" spans="2:7" ht="24" customHeight="1" x14ac:dyDescent="0.35">
      <c r="B77" s="128">
        <v>51</v>
      </c>
      <c r="C77" s="183">
        <f>ROUND(SUMIF('Points Lookup'!$A:$A,B77,'Points Lookup'!$E:$E)/(52*36.25),2)</f>
        <v>37.01</v>
      </c>
      <c r="D77" s="206"/>
      <c r="E77" s="206"/>
      <c r="F77" s="411"/>
      <c r="G77" s="294"/>
    </row>
    <row r="78" spans="2:7" ht="24" customHeight="1" x14ac:dyDescent="0.35">
      <c r="B78" s="128">
        <v>52</v>
      </c>
      <c r="C78" s="183">
        <f>ROUND(SUMIF('Points Lookup'!$A:$A,B78,'Points Lookup'!$E:$E)/(52*36.25),2)</f>
        <v>38.090000000000003</v>
      </c>
      <c r="D78" s="214"/>
      <c r="E78" s="295"/>
      <c r="F78" s="411"/>
      <c r="G78" s="296"/>
    </row>
    <row r="79" spans="2:7" ht="35.15" customHeight="1" x14ac:dyDescent="0.35">
      <c r="B79" s="206"/>
      <c r="C79" s="206"/>
      <c r="D79" s="206"/>
      <c r="E79" s="206"/>
      <c r="F79" s="206"/>
    </row>
    <row r="80" spans="2:7" ht="17.5" x14ac:dyDescent="0.35">
      <c r="B80" s="159" t="s">
        <v>152</v>
      </c>
      <c r="C80" s="206"/>
      <c r="D80" s="206"/>
      <c r="E80" s="206"/>
      <c r="F80" s="206"/>
    </row>
    <row r="81" spans="2:3" x14ac:dyDescent="0.3">
      <c r="B81" s="227" t="s">
        <v>153</v>
      </c>
      <c r="C81" s="206"/>
    </row>
    <row r="82" spans="2:3" x14ac:dyDescent="0.3">
      <c r="B82" s="227" t="s">
        <v>139</v>
      </c>
      <c r="C82" s="206"/>
    </row>
    <row r="84" spans="2:3" ht="30" customHeight="1" x14ac:dyDescent="0.35">
      <c r="B84" s="45" t="s">
        <v>43</v>
      </c>
      <c r="C84" s="46" t="s">
        <v>136</v>
      </c>
    </row>
    <row r="85" spans="2:3" ht="24" customHeight="1" x14ac:dyDescent="0.35">
      <c r="B85" s="26">
        <v>1</v>
      </c>
      <c r="C85" s="184">
        <f>ROUND(VLOOKUP(B85,'Points Lookup'!G:H,2,0)/(52*36.25),2)</f>
        <v>37.01</v>
      </c>
    </row>
    <row r="86" spans="2:3" ht="24" customHeight="1" x14ac:dyDescent="0.35">
      <c r="B86" s="26">
        <v>2</v>
      </c>
      <c r="C86" s="184">
        <f>ROUND(VLOOKUP(B86,'Points Lookup'!G:H,2,0)/(52*36.25),2)</f>
        <v>37.729999999999997</v>
      </c>
    </row>
    <row r="87" spans="2:3" ht="24" customHeight="1" x14ac:dyDescent="0.35">
      <c r="B87" s="26">
        <v>3</v>
      </c>
      <c r="C87" s="184">
        <f>ROUND(VLOOKUP(B87,'Points Lookup'!G:H,2,0)/(52*36.25),2)</f>
        <v>38.479999999999997</v>
      </c>
    </row>
    <row r="88" spans="2:3" ht="24" customHeight="1" x14ac:dyDescent="0.35">
      <c r="B88" s="26">
        <v>4</v>
      </c>
      <c r="C88" s="184">
        <f>ROUND(VLOOKUP(B88,'Points Lookup'!G:H,2,0)/(52*36.25),2)</f>
        <v>39.24</v>
      </c>
    </row>
    <row r="89" spans="2:3" ht="24" customHeight="1" x14ac:dyDescent="0.35">
      <c r="B89" s="26">
        <v>5</v>
      </c>
      <c r="C89" s="184">
        <f>ROUND(VLOOKUP(B89,'Points Lookup'!G:H,2,0)/(52*36.25),2)</f>
        <v>40.01</v>
      </c>
    </row>
    <row r="90" spans="2:3" ht="24" customHeight="1" x14ac:dyDescent="0.35">
      <c r="B90" s="26">
        <v>6</v>
      </c>
      <c r="C90" s="184">
        <f>ROUND(VLOOKUP(B90,'Points Lookup'!G:H,2,0)/(52*36.25),2)</f>
        <v>40.799999999999997</v>
      </c>
    </row>
    <row r="91" spans="2:3" ht="24" customHeight="1" x14ac:dyDescent="0.35">
      <c r="B91" s="26">
        <v>7</v>
      </c>
      <c r="C91" s="184">
        <f>ROUND(VLOOKUP(B91,'Points Lookup'!G:H,2,0)/(52*36.25),2)</f>
        <v>41.6</v>
      </c>
    </row>
    <row r="92" spans="2:3" ht="24" customHeight="1" x14ac:dyDescent="0.35">
      <c r="B92" s="26">
        <v>8</v>
      </c>
      <c r="C92" s="184">
        <f>ROUND(VLOOKUP(B92,'Points Lookup'!G:H,2,0)/(52*36.25),2)</f>
        <v>42.42</v>
      </c>
    </row>
    <row r="93" spans="2:3" ht="24" customHeight="1" x14ac:dyDescent="0.35">
      <c r="B93" s="26">
        <v>9</v>
      </c>
      <c r="C93" s="184">
        <f>ROUND(VLOOKUP(B93,'Points Lookup'!G:H,2,0)/(52*36.25),2)</f>
        <v>43.26</v>
      </c>
    </row>
    <row r="94" spans="2:3" ht="24" customHeight="1" x14ac:dyDescent="0.35">
      <c r="B94" s="26">
        <v>10</v>
      </c>
      <c r="C94" s="184">
        <f>ROUND(VLOOKUP(B94,'Points Lookup'!G:H,2,0)/(52*36.25),2)</f>
        <v>44.11</v>
      </c>
    </row>
    <row r="95" spans="2:3" ht="24" customHeight="1" x14ac:dyDescent="0.35">
      <c r="B95" s="26">
        <v>11</v>
      </c>
      <c r="C95" s="184">
        <f>ROUND(VLOOKUP(B95,'Points Lookup'!G:H,2,0)/(52*36.25),2)</f>
        <v>44.98</v>
      </c>
    </row>
    <row r="96" spans="2:3" ht="24" customHeight="1" x14ac:dyDescent="0.35">
      <c r="B96" s="26">
        <v>12</v>
      </c>
      <c r="C96" s="184">
        <f>ROUND(VLOOKUP(B96,'Points Lookup'!G:H,2,0)/(52*36.25),2)</f>
        <v>45.87</v>
      </c>
    </row>
    <row r="97" spans="2:5" ht="24" customHeight="1" x14ac:dyDescent="0.35">
      <c r="B97" s="26">
        <v>13</v>
      </c>
      <c r="C97" s="184">
        <f>ROUND(VLOOKUP(B97,'Points Lookup'!G:H,2,0)/(52*36.25),2)</f>
        <v>46.78</v>
      </c>
      <c r="D97" s="206"/>
      <c r="E97" s="206"/>
    </row>
    <row r="98" spans="2:5" ht="24" customHeight="1" x14ac:dyDescent="0.35">
      <c r="B98" s="26">
        <v>14</v>
      </c>
      <c r="C98" s="184">
        <f>ROUND(VLOOKUP(B98,'Points Lookup'!G:H,2,0)/(52*36.25),2)</f>
        <v>47.7</v>
      </c>
      <c r="D98" s="206"/>
      <c r="E98" s="206"/>
    </row>
    <row r="99" spans="2:5" ht="24" customHeight="1" x14ac:dyDescent="0.35">
      <c r="B99" s="26">
        <v>15</v>
      </c>
      <c r="C99" s="184">
        <f>ROUND(VLOOKUP(B99,'Points Lookup'!G:H,2,0)/(52*36.25),2)</f>
        <v>48.65</v>
      </c>
      <c r="D99" s="206"/>
      <c r="E99" s="206"/>
    </row>
    <row r="100" spans="2:5" ht="24" customHeight="1" x14ac:dyDescent="0.35">
      <c r="B100" s="27">
        <v>16</v>
      </c>
      <c r="C100" s="184">
        <f>ROUND(VLOOKUP(B100,'Points Lookup'!G:H,2,0)/(52*36.25),2)</f>
        <v>49.61</v>
      </c>
      <c r="D100" s="206"/>
      <c r="E100" s="206"/>
    </row>
    <row r="101" spans="2:5" ht="24" customHeight="1" x14ac:dyDescent="0.35">
      <c r="B101" s="26">
        <v>17</v>
      </c>
      <c r="C101" s="184">
        <f>ROUND(VLOOKUP(B101,'Points Lookup'!G:H,2,0)/(52*36.25),2)</f>
        <v>50.59</v>
      </c>
      <c r="D101" s="206"/>
      <c r="E101" s="206"/>
    </row>
    <row r="102" spans="2:5" ht="35.15" customHeight="1" x14ac:dyDescent="0.35">
      <c r="B102" s="206"/>
      <c r="C102" s="206"/>
      <c r="D102" s="206"/>
      <c r="E102" s="206"/>
    </row>
    <row r="103" spans="2:5" ht="17.5" x14ac:dyDescent="0.35">
      <c r="B103" s="159" t="s">
        <v>154</v>
      </c>
      <c r="C103" s="206"/>
      <c r="D103" s="206"/>
      <c r="E103" s="206"/>
    </row>
    <row r="104" spans="2:5" x14ac:dyDescent="0.3">
      <c r="B104" s="227" t="s">
        <v>155</v>
      </c>
      <c r="C104" s="206"/>
      <c r="D104" s="206"/>
      <c r="E104" s="206"/>
    </row>
    <row r="105" spans="2:5" x14ac:dyDescent="0.3">
      <c r="B105" s="227" t="s">
        <v>139</v>
      </c>
      <c r="C105" s="206"/>
      <c r="D105" s="206"/>
      <c r="E105" s="206"/>
    </row>
    <row r="107" spans="2:5" ht="30" customHeight="1" x14ac:dyDescent="0.35">
      <c r="B107" s="45" t="s">
        <v>43</v>
      </c>
      <c r="C107" s="46" t="s">
        <v>136</v>
      </c>
      <c r="D107" s="206"/>
      <c r="E107" s="206"/>
    </row>
    <row r="108" spans="2:5" ht="24" customHeight="1" x14ac:dyDescent="0.35">
      <c r="B108" s="26">
        <v>1</v>
      </c>
      <c r="C108" s="184">
        <f>ROUND(VLOOKUP(B108,'Points Lookup'!J:K,2,0)/(52*36.25),2)</f>
        <v>38.1</v>
      </c>
      <c r="D108" s="224"/>
      <c r="E108" s="331" t="s">
        <v>112</v>
      </c>
    </row>
    <row r="109" spans="2:5" ht="24" customHeight="1" x14ac:dyDescent="0.35">
      <c r="B109" s="26">
        <v>2</v>
      </c>
      <c r="C109" s="184">
        <f>ROUND(VLOOKUP(B109,'Points Lookup'!J:K,2,0)/(52*36.25),2)</f>
        <v>39.229999999999997</v>
      </c>
      <c r="D109" s="206"/>
      <c r="E109" s="332"/>
    </row>
    <row r="110" spans="2:5" ht="24" customHeight="1" x14ac:dyDescent="0.35">
      <c r="B110" s="26">
        <v>3</v>
      </c>
      <c r="C110" s="184">
        <f>ROUND(VLOOKUP(B110,'Points Lookup'!J:K,2,0)/(52*36.25),2)</f>
        <v>40.39</v>
      </c>
      <c r="D110" s="206"/>
      <c r="E110" s="332"/>
    </row>
    <row r="111" spans="2:5" ht="24" customHeight="1" x14ac:dyDescent="0.35">
      <c r="B111" s="26">
        <v>4</v>
      </c>
      <c r="C111" s="184">
        <f>ROUND(VLOOKUP(B111,'Points Lookup'!J:K,2,0)/(52*36.25),2)</f>
        <v>41.59</v>
      </c>
      <c r="D111" s="206"/>
      <c r="E111" s="332"/>
    </row>
    <row r="112" spans="2:5" ht="24" customHeight="1" x14ac:dyDescent="0.35">
      <c r="B112" s="26">
        <v>5</v>
      </c>
      <c r="C112" s="184">
        <f>ROUND(VLOOKUP(B112,'Points Lookup'!J:K,2,0)/(52*36.25),2)</f>
        <v>42.82</v>
      </c>
      <c r="D112" s="206"/>
      <c r="E112" s="332"/>
    </row>
    <row r="113" spans="2:5" ht="24" customHeight="1" x14ac:dyDescent="0.35">
      <c r="B113" s="185">
        <v>6</v>
      </c>
      <c r="C113" s="184">
        <f>ROUND(VLOOKUP(B113,'Points Lookup'!J:K,2,0)/(52*36.25),2)</f>
        <v>44.09</v>
      </c>
      <c r="D113" s="206"/>
      <c r="E113" s="333"/>
    </row>
    <row r="114" spans="2:5" ht="24" customHeight="1" x14ac:dyDescent="0.35">
      <c r="B114" s="26">
        <v>7</v>
      </c>
      <c r="C114" s="184">
        <f>ROUND(VLOOKUP(B114,'Points Lookup'!J:K,2,0)/(52*36.25),2)</f>
        <v>45.4</v>
      </c>
      <c r="D114" s="224"/>
      <c r="E114" s="331" t="s">
        <v>114</v>
      </c>
    </row>
    <row r="115" spans="2:5" ht="24" customHeight="1" x14ac:dyDescent="0.35">
      <c r="B115" s="26">
        <v>8</v>
      </c>
      <c r="C115" s="184">
        <f>ROUND(VLOOKUP(B115,'Points Lookup'!J:K,2,0)/(52*36.25),2)</f>
        <v>46.75</v>
      </c>
      <c r="D115" s="206"/>
      <c r="E115" s="332"/>
    </row>
    <row r="116" spans="2:5" ht="24" customHeight="1" x14ac:dyDescent="0.35">
      <c r="B116" s="26">
        <v>9</v>
      </c>
      <c r="C116" s="184">
        <f>ROUND(VLOOKUP(B116,'Points Lookup'!J:K,2,0)/(52*36.25),2)</f>
        <v>48.14</v>
      </c>
      <c r="D116" s="206"/>
      <c r="E116" s="332"/>
    </row>
    <row r="117" spans="2:5" ht="24" customHeight="1" x14ac:dyDescent="0.35">
      <c r="B117" s="26">
        <v>10</v>
      </c>
      <c r="C117" s="184">
        <f>ROUND(VLOOKUP(B117,'Points Lookup'!J:K,2,0)/(52*36.25),2)</f>
        <v>49.57</v>
      </c>
      <c r="D117" s="206"/>
      <c r="E117" s="332"/>
    </row>
    <row r="118" spans="2:5" ht="24" customHeight="1" x14ac:dyDescent="0.35">
      <c r="B118" s="26">
        <v>11</v>
      </c>
      <c r="C118" s="184">
        <f>ROUND(VLOOKUP(B118,'Points Lookup'!J:K,2,0)/(52*36.25),2)</f>
        <v>51.04</v>
      </c>
      <c r="D118" s="206"/>
      <c r="E118" s="332"/>
    </row>
    <row r="119" spans="2:5" ht="24" customHeight="1" x14ac:dyDescent="0.35">
      <c r="B119" s="185">
        <v>12</v>
      </c>
      <c r="C119" s="184">
        <f>ROUND(VLOOKUP(B119,'Points Lookup'!J:K,2,0)/(52*36.25),2)</f>
        <v>52.56</v>
      </c>
      <c r="D119" s="206"/>
      <c r="E119" s="333"/>
    </row>
    <row r="120" spans="2:5" ht="24" customHeight="1" x14ac:dyDescent="0.35">
      <c r="B120" s="26">
        <v>13</v>
      </c>
      <c r="C120" s="184">
        <f>ROUND(VLOOKUP(B120,'Points Lookup'!J:K,2,0)/(52*36.25),2)</f>
        <v>54.12</v>
      </c>
      <c r="D120" s="224"/>
      <c r="E120" s="326" t="s">
        <v>116</v>
      </c>
    </row>
    <row r="121" spans="2:5" ht="24" customHeight="1" x14ac:dyDescent="0.35">
      <c r="B121" s="26">
        <v>14</v>
      </c>
      <c r="C121" s="184">
        <f>ROUND(VLOOKUP(B121,'Points Lookup'!J:K,2,0)/(52*36.25),2)</f>
        <v>55.73</v>
      </c>
      <c r="D121" s="206"/>
      <c r="E121" s="326"/>
    </row>
    <row r="122" spans="2:5" ht="24" customHeight="1" x14ac:dyDescent="0.35">
      <c r="B122" s="26">
        <v>15</v>
      </c>
      <c r="C122" s="184">
        <f>ROUND(VLOOKUP(B122,'Points Lookup'!J:K,2,0)/(52*36.25),2)</f>
        <v>57.39</v>
      </c>
      <c r="D122" s="206"/>
      <c r="E122" s="326"/>
    </row>
    <row r="123" spans="2:5" ht="24" customHeight="1" x14ac:dyDescent="0.35">
      <c r="B123" s="27">
        <v>16</v>
      </c>
      <c r="C123" s="184">
        <f>ROUND(VLOOKUP(B123,'Points Lookup'!J:K,2,0)/(52*36.25),2)</f>
        <v>59.1</v>
      </c>
      <c r="D123" s="206"/>
      <c r="E123" s="326"/>
    </row>
    <row r="124" spans="2:5" ht="24" customHeight="1" x14ac:dyDescent="0.35">
      <c r="B124" s="26">
        <v>17</v>
      </c>
      <c r="C124" s="184">
        <f>ROUND(VLOOKUP(B124,'Points Lookup'!J:K,2,0)/(52*36.25),2)</f>
        <v>60.85</v>
      </c>
      <c r="D124" s="206"/>
      <c r="E124" s="326"/>
    </row>
    <row r="125" spans="2:5" ht="24" customHeight="1" x14ac:dyDescent="0.35">
      <c r="B125" s="28">
        <v>18</v>
      </c>
      <c r="C125" s="184">
        <f>ROUND(VLOOKUP(B125,'Points Lookup'!J:K,2,0)/(52*36.25),2)</f>
        <v>62.67</v>
      </c>
      <c r="D125" s="206"/>
      <c r="E125" s="326"/>
    </row>
    <row r="126" spans="2:5" ht="24" customHeight="1" x14ac:dyDescent="0.35">
      <c r="B126" s="185">
        <v>19</v>
      </c>
      <c r="C126" s="184">
        <f>ROUND(VLOOKUP(B126,'Points Lookup'!J:K,2,0)/(52*36.25),2)</f>
        <v>64.53</v>
      </c>
      <c r="D126" s="206"/>
      <c r="E126" s="326"/>
    </row>
    <row r="127" spans="2:5" ht="24" customHeight="1" x14ac:dyDescent="0.35">
      <c r="B127" s="26">
        <v>20</v>
      </c>
      <c r="C127" s="184">
        <f>ROUND(VLOOKUP(B127,'Points Lookup'!J:K,2,0)/(52*36.25),2)</f>
        <v>66.45</v>
      </c>
      <c r="D127" s="223"/>
      <c r="E127" s="72" t="s">
        <v>118</v>
      </c>
    </row>
    <row r="128" spans="2:5" ht="35.15" customHeight="1" x14ac:dyDescent="0.35">
      <c r="B128" s="206"/>
      <c r="C128" s="206"/>
      <c r="D128" s="206"/>
      <c r="E128" s="206"/>
    </row>
    <row r="129" spans="2:3" ht="17.5" x14ac:dyDescent="0.35">
      <c r="B129" s="159" t="s">
        <v>156</v>
      </c>
      <c r="C129" s="206"/>
    </row>
    <row r="130" spans="2:3" x14ac:dyDescent="0.3">
      <c r="B130" s="227" t="s">
        <v>157</v>
      </c>
      <c r="C130" s="206"/>
    </row>
    <row r="131" spans="2:3" x14ac:dyDescent="0.3">
      <c r="B131" s="227" t="s">
        <v>158</v>
      </c>
      <c r="C131" s="206"/>
    </row>
    <row r="133" spans="2:3" ht="30" customHeight="1" x14ac:dyDescent="0.35">
      <c r="B133" s="45" t="s">
        <v>124</v>
      </c>
      <c r="C133" s="46" t="s">
        <v>44</v>
      </c>
    </row>
    <row r="134" spans="2:3" ht="24" customHeight="1" x14ac:dyDescent="0.35">
      <c r="B134" s="26">
        <v>1</v>
      </c>
      <c r="C134" s="26">
        <f>ROUND(VLOOKUP(B134,'Points Lookup'!M:N,2,0)/(52*38.5),2)</f>
        <v>16.18</v>
      </c>
    </row>
    <row r="135" spans="2:3" ht="24" customHeight="1" x14ac:dyDescent="0.35">
      <c r="B135" s="26">
        <v>2</v>
      </c>
      <c r="C135" s="26">
        <f>ROUND(VLOOKUP(B135,'Points Lookup'!M:N,2,0)/(52*38.5),2)</f>
        <v>18.63</v>
      </c>
    </row>
    <row r="136" spans="2:3" ht="24" customHeight="1" x14ac:dyDescent="0.35">
      <c r="B136" s="26">
        <v>3</v>
      </c>
      <c r="C136" s="26">
        <f>ROUND(VLOOKUP(B136,'Points Lookup'!M:N,2,0)/(52*38.5),2)</f>
        <v>21.94</v>
      </c>
    </row>
    <row r="137" spans="2:3" ht="24" customHeight="1" x14ac:dyDescent="0.35">
      <c r="B137" s="26">
        <v>4</v>
      </c>
      <c r="C137" s="26">
        <f>ROUND(VLOOKUP(B137,'Points Lookup'!M:N,2,0)/(52*38.5),2)</f>
        <v>27.64</v>
      </c>
    </row>
    <row r="138" spans="2:3" ht="24" customHeight="1" x14ac:dyDescent="0.35">
      <c r="B138" s="26">
        <v>5</v>
      </c>
      <c r="C138" s="26">
        <f>ROUND(VLOOKUP(B138,'Points Lookup'!M:N,2,0)/(52*38.5),2)</f>
        <v>31.54</v>
      </c>
    </row>
    <row r="139" spans="2:3" ht="35.15" customHeight="1" x14ac:dyDescent="0.35">
      <c r="B139" s="206"/>
      <c r="C139" s="206"/>
    </row>
    <row r="140" spans="2:3" ht="17.5" x14ac:dyDescent="0.35">
      <c r="B140" s="159" t="s">
        <v>159</v>
      </c>
      <c r="C140" s="206"/>
    </row>
    <row r="141" spans="2:3" x14ac:dyDescent="0.3">
      <c r="B141" s="227" t="s">
        <v>160</v>
      </c>
      <c r="C141" s="206"/>
    </row>
    <row r="142" spans="2:3" x14ac:dyDescent="0.3">
      <c r="B142" s="227" t="s">
        <v>158</v>
      </c>
      <c r="C142" s="206"/>
    </row>
    <row r="144" spans="2:3" ht="30" customHeight="1" x14ac:dyDescent="0.35">
      <c r="B144" s="45" t="s">
        <v>43</v>
      </c>
      <c r="C144" s="46" t="s">
        <v>136</v>
      </c>
    </row>
    <row r="145" spans="2:3" ht="24" customHeight="1" x14ac:dyDescent="0.35">
      <c r="B145" s="26">
        <v>1</v>
      </c>
      <c r="C145" s="184">
        <f>ROUND(VLOOKUP(B145,'Points Lookup'!P:Q,2,0)/(52*38.5),2)</f>
        <v>19.29</v>
      </c>
    </row>
    <row r="146" spans="2:3" ht="24" customHeight="1" x14ac:dyDescent="0.35">
      <c r="B146" s="26">
        <v>2</v>
      </c>
      <c r="C146" s="184">
        <f>ROUND(VLOOKUP(B146,'Points Lookup'!P:Q,2,0)/(52*38.5),2)</f>
        <v>20.21</v>
      </c>
    </row>
    <row r="147" spans="2:3" ht="24" customHeight="1" x14ac:dyDescent="0.35">
      <c r="B147" s="26">
        <v>3</v>
      </c>
      <c r="C147" s="184">
        <f>ROUND(VLOOKUP(B147,'Points Lookup'!P:Q,2,0)/(52*38.5),2)</f>
        <v>21.14</v>
      </c>
    </row>
    <row r="148" spans="2:3" ht="24" customHeight="1" x14ac:dyDescent="0.35">
      <c r="B148" s="26">
        <v>4</v>
      </c>
      <c r="C148" s="184">
        <f>ROUND(VLOOKUP(B148,'Points Lookup'!P:Q,2,0)/(52*38.5),2)</f>
        <v>22.06</v>
      </c>
    </row>
    <row r="149" spans="2:3" ht="24" customHeight="1" x14ac:dyDescent="0.35">
      <c r="B149" s="26">
        <v>5</v>
      </c>
      <c r="C149" s="184">
        <f>ROUND(VLOOKUP(B149,'Points Lookup'!P:Q,2,0)/(52*38.5),2)</f>
        <v>23.18</v>
      </c>
    </row>
    <row r="150" spans="2:3" ht="24" customHeight="1" x14ac:dyDescent="0.35">
      <c r="B150" s="26">
        <v>6</v>
      </c>
      <c r="C150" s="184">
        <f>ROUND(VLOOKUP(B150,'Points Lookup'!P:Q,2,0)/(52*38.5),2)</f>
        <v>24.29</v>
      </c>
    </row>
    <row r="151" spans="2:3" ht="24" customHeight="1" x14ac:dyDescent="0.35">
      <c r="B151" s="26">
        <v>7</v>
      </c>
      <c r="C151" s="184">
        <f>ROUND(VLOOKUP(B151,'Points Lookup'!P:Q,2,0)/(52*38.5),2)</f>
        <v>25.41</v>
      </c>
    </row>
    <row r="152" spans="2:3" ht="24" customHeight="1" x14ac:dyDescent="0.35">
      <c r="B152" s="26">
        <v>8</v>
      </c>
      <c r="C152" s="184">
        <f>ROUND(VLOOKUP(B152,'Points Lookup'!P:Q,2,0)/(52*38.5),2)</f>
        <v>26.52</v>
      </c>
    </row>
    <row r="153" spans="2:3" ht="24" customHeight="1" x14ac:dyDescent="0.35">
      <c r="B153" s="26">
        <v>9</v>
      </c>
      <c r="C153" s="184">
        <f>ROUND(VLOOKUP(B153,'Points Lookup'!P:Q,2,0)/(52*38.5),2)</f>
        <v>27.64</v>
      </c>
    </row>
    <row r="154" spans="2:3" ht="24" customHeight="1" x14ac:dyDescent="0.35">
      <c r="B154" s="26">
        <v>10</v>
      </c>
      <c r="C154" s="184">
        <f>ROUND(VLOOKUP(B154,'Points Lookup'!P:Q,2,0)/(52*38.5),2)</f>
        <v>30.54</v>
      </c>
    </row>
    <row r="155" spans="2:3" ht="24" customHeight="1" x14ac:dyDescent="0.35">
      <c r="B155" s="26">
        <v>11</v>
      </c>
      <c r="C155" s="184">
        <f>ROUND(VLOOKUP(B155,'Points Lookup'!P:Q,2,0)/(52*38.5),2)</f>
        <v>32.94</v>
      </c>
    </row>
    <row r="156" spans="2:3" ht="35.15" customHeight="1" x14ac:dyDescent="0.35">
      <c r="B156" s="206"/>
      <c r="C156" s="206"/>
    </row>
    <row r="157" spans="2:3" ht="17.5" x14ac:dyDescent="0.35">
      <c r="B157" s="159" t="s">
        <v>161</v>
      </c>
      <c r="C157" s="206"/>
    </row>
    <row r="158" spans="2:3" x14ac:dyDescent="0.3">
      <c r="B158" s="227" t="s">
        <v>162</v>
      </c>
      <c r="C158" s="206"/>
    </row>
    <row r="159" spans="2:3" x14ac:dyDescent="0.3">
      <c r="B159" s="227" t="s">
        <v>163</v>
      </c>
      <c r="C159" s="206"/>
    </row>
    <row r="161" spans="2:15" ht="30" customHeight="1" x14ac:dyDescent="0.35">
      <c r="B161" s="45" t="s">
        <v>133</v>
      </c>
      <c r="C161" s="186" t="s">
        <v>164</v>
      </c>
    </row>
    <row r="162" spans="2:15" ht="24" customHeight="1" x14ac:dyDescent="0.35">
      <c r="B162" s="26">
        <v>1</v>
      </c>
      <c r="C162" s="184">
        <f>ROUND(VLOOKUP(B162,'Points Lookup'!S:T,2,0)/(52*40),2)</f>
        <v>50.72</v>
      </c>
    </row>
    <row r="163" spans="2:15" ht="24" customHeight="1" x14ac:dyDescent="0.35">
      <c r="B163" s="26">
        <v>2</v>
      </c>
      <c r="C163" s="184">
        <f>ROUND(VLOOKUP(B163,'Points Lookup'!S:T,2,0)/(52*40),2)</f>
        <v>53.71</v>
      </c>
    </row>
    <row r="164" spans="2:15" ht="24" customHeight="1" x14ac:dyDescent="0.35">
      <c r="B164" s="27">
        <v>3</v>
      </c>
      <c r="C164" s="184">
        <f>ROUND(VLOOKUP(B164,'Points Lookup'!S:T,2,0)/(52*40),2)</f>
        <v>55.24</v>
      </c>
    </row>
    <row r="165" spans="2:15" ht="24" customHeight="1" x14ac:dyDescent="0.35">
      <c r="B165" s="26">
        <v>4</v>
      </c>
      <c r="C165" s="184">
        <f>ROUND(VLOOKUP(B165,'Points Lookup'!S:T,2,0)/(52*40),2)</f>
        <v>60.59</v>
      </c>
    </row>
    <row r="166" spans="2:15" ht="24" customHeight="1" x14ac:dyDescent="0.35">
      <c r="B166" s="28">
        <v>5</v>
      </c>
      <c r="C166" s="184">
        <f>ROUND(VLOOKUP(B166,'Points Lookup'!S:T,2,0)/(52*40),2)</f>
        <v>67.25</v>
      </c>
    </row>
    <row r="169" spans="2:15" ht="27" x14ac:dyDescent="0.35">
      <c r="B169" s="45" t="s">
        <v>133</v>
      </c>
      <c r="C169" s="186" t="s">
        <v>165</v>
      </c>
    </row>
    <row r="170" spans="2:15" ht="24" customHeight="1" x14ac:dyDescent="0.35">
      <c r="B170" s="26">
        <v>1</v>
      </c>
      <c r="C170" s="184">
        <f>IFERROR(ROUND(VLOOKUP(B170+18,'Points Lookup'!P:Q,2,0)/(52*40),2),"-")</f>
        <v>39.630000000000003</v>
      </c>
    </row>
    <row r="171" spans="2:15" ht="24" customHeight="1" x14ac:dyDescent="0.35">
      <c r="B171" s="26">
        <v>2</v>
      </c>
      <c r="C171" s="184">
        <f>IFERROR(ROUND(VLOOKUP(B171+18,'Points Lookup'!P:Q,2,0)/(52*40),2),"-")</f>
        <v>42.47</v>
      </c>
    </row>
    <row r="172" spans="2:15" ht="24" customHeight="1" x14ac:dyDescent="0.35">
      <c r="B172" s="27">
        <v>3</v>
      </c>
      <c r="C172" s="184">
        <f>IFERROR(ROUND(VLOOKUP(B172+18,'Points Lookup'!P:Q,2,0)/(52*40),2),"-")</f>
        <v>45.3</v>
      </c>
    </row>
    <row r="173" spans="2:15" ht="24" customHeight="1" x14ac:dyDescent="0.35">
      <c r="B173" s="26">
        <v>4</v>
      </c>
      <c r="C173" s="184">
        <f>IFERROR(ROUND(VLOOKUP(B173+18,'Points Lookup'!P:Q,2,0)/(52*40),2),"-")</f>
        <v>48.14</v>
      </c>
    </row>
    <row r="174" spans="2:15" ht="24" customHeight="1" x14ac:dyDescent="0.35">
      <c r="B174" s="28">
        <v>5</v>
      </c>
      <c r="C174" s="184">
        <f>IFERROR(ROUND(VLOOKUP(B174+18,'Points Lookup'!P:Q,2,0)/(52*40),2),"-")</f>
        <v>51.37</v>
      </c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</row>
    <row r="177" spans="2:15" ht="105" customHeight="1" x14ac:dyDescent="0.35">
      <c r="B177" s="409" t="str">
        <f>_xlfn.CONCAT("Effective date(s) of pay award: ",
IF(MAX('Contents &amp; version control'!$D$22:$D$25)=MIN('Contents &amp; version control'!$D$22:$D$25),TEXT('Contents &amp; version control'!$D$22,"D MMMM YYYY")&amp;" (non-clinical workers), ",
IF(AND('Contents &amp; version control'!$D$22='Contents &amp; version control'!$D$24,'Contents &amp; version control'!$D$23='Contents &amp; version control'!$D$25),TEXT('Contents &amp; version control'!$D$22,"D MMMM YYYY")&amp;" (L1-3 non-clinical workers), "&amp;TEXT('Contents &amp; version control'!$D$23,"D MMMM YYYY")&amp;" (L4-7 non-clinical workers), ",
IF(AND('Contents &amp; version control'!$D$22='Contents &amp; version control'!$D$24,'Contents &amp; version control'!$D$22='Contents &amp; version control'!$D$25),TEXT('Contents &amp; version control'!$D$23,"D MMMM YYYY")&amp;" (UCU represented workers: "&amp;'Contents &amp; version control'!$C$23&amp;"), "&amp;TEXT('Contents &amp; version control'!$D$22, "D MMMM YYYY")&amp;" (Unison and Unite represented workers: "&amp;'Contents &amp; version control'!$C$22&amp;", "&amp;'Contents &amp; version control'!$C$24&amp;", "&amp;'Contents &amp; version control'!$C$25&amp;"), ",
IF('Contents &amp; version control'!$D$24='Contents &amp; version control'!$D$25,TEXT('Contents &amp; version control'!$D$23,"D MMMM YYYY")&amp;" (UCU represented workers: "&amp;'Contents &amp; version control'!$C$23&amp;"), "&amp;TEXT('Contents &amp; version control'!$D$22,"D MMMM YYYY")&amp;" (Unison represented workers: "&amp;'Contents &amp; version control'!$C$22&amp;"), "&amp;TEXT('Contents &amp; version control'!$D$24,"D MMMM YYYY")&amp;" (Unite represented workers: all TS workers), ",
TEXT('Contents &amp; version control'!$D$23,"D MMMM YYYY")&amp;" ("&amp;'Contents &amp; version control'!$C$23&amp;"), "&amp;TEXT('Contents &amp; version control'!$D$22,"D MMMM YYYY")&amp;" ("&amp;'Contents &amp; version control'!$C$22&amp;"), "&amp;TEXT('Contents &amp; version control'!$D$24,"D MMMM YYYY")&amp;" ("&amp;'Contents &amp; version control'!$C$24&amp;"), "&amp;TEXT('Contents &amp; version control'!$D$25,"D MMMM YYYY")&amp;" ("&amp;'Contents &amp; version control'!$C$25&amp;"), ")))),
IF('Contents &amp; version control'!$D$27='Contents &amp; version control'!$D$28,TEXT('Contents &amp; version control'!$D$27,"D MMMM YYYY")&amp;" (clinical workers)",TEXT('Contents &amp; version control'!$D$27,"D MMMM YYYY")&amp;" ("&amp;'Contents &amp; version control'!$C$27&amp;"), "&amp;TEXT('Contents &amp; version control'!$D$28,"D MMMM YYYY")&amp;" ("&amp;'Contents &amp; version control'!$C$28&amp;")"),".")</f>
        <v>Effective date(s) of pay award: 1 November 2024 (L1-3 non-clinical workers), 1 August 2024 (L4-7 non-clinical workers), 1 April 2023 (Doctors in training, medical research fellows, clinical lecturers), 1 April 2024 (Clinical consultants).</v>
      </c>
      <c r="C177" s="409"/>
      <c r="D177" s="409"/>
      <c r="E177" s="409"/>
      <c r="F177" s="409"/>
      <c r="G177" s="194"/>
      <c r="H177" s="194"/>
      <c r="I177" s="194"/>
      <c r="J177" s="194"/>
      <c r="K177" s="194"/>
      <c r="L177" s="194"/>
      <c r="M177" s="194"/>
      <c r="N177" s="194"/>
      <c r="O177" s="194"/>
    </row>
  </sheetData>
  <sheetProtection algorithmName="SHA-512" hashValue="QAyG6hqoGuNxcRLPQZ6odOa3DJt5UdstHkjgnNq8MArJnvM7gHmBFxHRAOHchyaKzx6TH8+IYyGE5zLh4faOQw==" saltValue="xnOqAD62EjrcnPf3jBu/Nw==" spinCount="100000" sheet="1" objects="1" scenarios="1"/>
  <customSheetViews>
    <customSheetView guid="{DC156EF3-60B9-4D72-83CB-66DF98F35EAF}" showGridLines="0" topLeftCell="A133">
      <selection activeCell="C108" sqref="C108:C127"/>
      <rowBreaks count="4" manualBreakCount="4">
        <brk id="42" min="1" max="6" man="1"/>
        <brk id="79" min="1" max="6" man="1"/>
        <brk id="102" min="1" max="6" man="1"/>
        <brk id="139" min="1" max="6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74" fitToHeight="0" orientation="portrait" r:id="rId1"/>
    </customSheetView>
  </customSheetViews>
  <mergeCells count="17">
    <mergeCell ref="E11:E15"/>
    <mergeCell ref="D11:D15"/>
    <mergeCell ref="E8:E9"/>
    <mergeCell ref="D10:E10"/>
    <mergeCell ref="F24:F25"/>
    <mergeCell ref="F27:F32"/>
    <mergeCell ref="F34:F41"/>
    <mergeCell ref="B42:E42"/>
    <mergeCell ref="E114:E119"/>
    <mergeCell ref="F71:F78"/>
    <mergeCell ref="E108:E113"/>
    <mergeCell ref="G59:G61"/>
    <mergeCell ref="G62:G70"/>
    <mergeCell ref="B177:F177"/>
    <mergeCell ref="E49:E53"/>
    <mergeCell ref="F53:F63"/>
    <mergeCell ref="E120:E1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2"/>
  <rowBreaks count="4" manualBreakCount="4">
    <brk id="42" min="1" max="6" man="1"/>
    <brk id="79" min="1" max="6" man="1"/>
    <brk id="102" min="1" max="6" man="1"/>
    <brk id="139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equency xmlns="55e6b1b4-372c-45e8-b6d9-3db6e31442bc" xsi:nil="true"/>
    <TaxCatchAll xmlns="f1d7a1b8-d8de-46d6-a72a-8bafd3f2a678" xsi:nil="true"/>
    <lcf76f155ced4ddcb4097134ff3c332f xmlns="55e6b1b4-372c-45e8-b6d9-3db6e31442bc">
      <Terms xmlns="http://schemas.microsoft.com/office/infopath/2007/PartnerControls"/>
    </lcf76f155ced4ddcb4097134ff3c332f>
    <SharedWithUsers xmlns="f1d7a1b8-d8de-46d6-a72a-8bafd3f2a678">
      <UserInfo>
        <DisplayName>Benjamin Hadwin (staff)</DisplayName>
        <AccountId>139</AccountId>
        <AccountType/>
      </UserInfo>
      <UserInfo>
        <DisplayName>Carolyn Stanhope (staff)</DisplayName>
        <AccountId>82</AccountId>
        <AccountType/>
      </UserInfo>
      <UserInfo>
        <DisplayName>Jonathan Sneade (staff)</DisplayName>
        <AccountId>44</AccountId>
        <AccountType/>
      </UserInfo>
      <UserInfo>
        <DisplayName>Rachel Earl (staff)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5EC9515766340858D70EECC5AD921" ma:contentTypeVersion="22" ma:contentTypeDescription="Create a new document." ma:contentTypeScope="" ma:versionID="962125ba0b4b8ce262458a4072e7b511">
  <xsd:schema xmlns:xsd="http://www.w3.org/2001/XMLSchema" xmlns:xs="http://www.w3.org/2001/XMLSchema" xmlns:p="http://schemas.microsoft.com/office/2006/metadata/properties" xmlns:ns2="55e6b1b4-372c-45e8-b6d9-3db6e31442bc" xmlns:ns3="f1d7a1b8-d8de-46d6-a72a-8bafd3f2a678" targetNamespace="http://schemas.microsoft.com/office/2006/metadata/properties" ma:root="true" ma:fieldsID="e703371d6ce96c31b66468012b3d64f1" ns2:_="" ns3:_="">
    <xsd:import namespace="55e6b1b4-372c-45e8-b6d9-3db6e31442bc"/>
    <xsd:import namespace="f1d7a1b8-d8de-46d6-a72a-8bafd3f2a678"/>
    <xsd:element name="properties">
      <xsd:complexType>
        <xsd:sequence>
          <xsd:element name="documentManagement">
            <xsd:complexType>
              <xsd:all>
                <xsd:element ref="ns2:Frequenc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6b1b4-372c-45e8-b6d9-3db6e31442bc" elementFormDefault="qualified">
    <xsd:import namespace="http://schemas.microsoft.com/office/2006/documentManagement/types"/>
    <xsd:import namespace="http://schemas.microsoft.com/office/infopath/2007/PartnerControls"/>
    <xsd:element name="Frequency" ma:index="2" nillable="true" ma:displayName="Frequency" ma:format="Dropdown" ma:internalName="Frequency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624216-d583-4636-a04d-17921d6eaf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7a1b8-d8de-46d6-a72a-8bafd3f2a6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bead6dd2-61fc-4664-b256-ee2177e8f791}" ma:internalName="TaxCatchAll" ma:showField="CatchAllData" ma:web="f1d7a1b8-d8de-46d6-a72a-8bafd3f2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F47D2-EB8C-494F-8215-7A4D9C6881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46396-F922-4773-98F3-7AD868D0046C}">
  <ds:schemaRefs>
    <ds:schemaRef ds:uri="http://schemas.openxmlformats.org/package/2006/metadata/core-properties"/>
    <ds:schemaRef ds:uri="http://www.w3.org/XML/1998/namespace"/>
    <ds:schemaRef ds:uri="f1d7a1b8-d8de-46d6-a72a-8bafd3f2a678"/>
    <ds:schemaRef ds:uri="http://purl.org/dc/elements/1.1/"/>
    <ds:schemaRef ds:uri="http://schemas.microsoft.com/office/infopath/2007/PartnerControls"/>
    <ds:schemaRef ds:uri="55e6b1b4-372c-45e8-b6d9-3db6e31442bc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039D419-1C65-450C-847C-97AC8F77D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6b1b4-372c-45e8-b6d9-3db6e31442bc"/>
    <ds:schemaRef ds:uri="f1d7a1b8-d8de-46d6-a72a-8bafd3f2a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17</vt:i4>
      </vt:variant>
    </vt:vector>
  </HeadingPairs>
  <TitlesOfParts>
    <vt:vector size="31" baseType="lpstr">
      <vt:lpstr>Contents &amp; version control</vt:lpstr>
      <vt:lpstr>Level 1-3 scale</vt:lpstr>
      <vt:lpstr>Apprenticeship scale</vt:lpstr>
      <vt:lpstr>Child care Services Scale</vt:lpstr>
      <vt:lpstr>Level 4-6 scale</vt:lpstr>
      <vt:lpstr>Level 7 scale</vt:lpstr>
      <vt:lpstr>Level 7 R&amp;T banded scale</vt:lpstr>
      <vt:lpstr>Clinical scales</vt:lpstr>
      <vt:lpstr>Casual worker scales</vt:lpstr>
      <vt:lpstr>Standard rates calculator</vt:lpstr>
      <vt:lpstr>Offscale rates calculator</vt:lpstr>
      <vt:lpstr>Grades</vt:lpstr>
      <vt:lpstr>Points Lookup</vt:lpstr>
      <vt:lpstr>Thresholds_Rates</vt:lpstr>
      <vt:lpstr>NMW</vt:lpstr>
      <vt:lpstr>'Apprenticeship scale'!Print_Area</vt:lpstr>
      <vt:lpstr>'Casual worker scales'!Print_Area</vt:lpstr>
      <vt:lpstr>'Child care Services Scale'!Print_Area</vt:lpstr>
      <vt:lpstr>'Clinical scales'!Print_Area</vt:lpstr>
      <vt:lpstr>'Contents &amp; version control'!Print_Area</vt:lpstr>
      <vt:lpstr>'Level 1-3 scale'!Print_Area</vt:lpstr>
      <vt:lpstr>'Level 4-6 scale'!Print_Area</vt:lpstr>
      <vt:lpstr>'Level 7 R&amp;T banded scale'!Print_Area</vt:lpstr>
      <vt:lpstr>'Level 7 scale'!Print_Area</vt:lpstr>
      <vt:lpstr>'Offscale rates calculator'!Print_Area</vt:lpstr>
      <vt:lpstr>'Standard rates calculator'!Print_Area</vt:lpstr>
      <vt:lpstr>'Casual worker scales'!Print_Titles</vt:lpstr>
      <vt:lpstr>'Level 1-3 scale'!Print_Titles</vt:lpstr>
      <vt:lpstr>'Level 4-6 scale'!Print_Titles</vt:lpstr>
      <vt:lpstr>'Offscale rates calculator'!Print_Titles</vt:lpstr>
      <vt:lpstr>'Standard rates calculator'!Print_Titles</vt:lpstr>
    </vt:vector>
  </TitlesOfParts>
  <Manager/>
  <Company>The University of Nottingham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Salary-Scales-On-Costs-Pay-Award-Aug-2014-(April-2014-NI)</dc:title>
  <dc:subject/>
  <dc:creator>Tanya Robinson</dc:creator>
  <cp:keywords/>
  <dc:description/>
  <cp:lastModifiedBy>Tomasz Libiszewski (staff)</cp:lastModifiedBy>
  <cp:revision/>
  <dcterms:created xsi:type="dcterms:W3CDTF">2011-11-03T09:54:30Z</dcterms:created>
  <dcterms:modified xsi:type="dcterms:W3CDTF">2024-10-30T16:58:23Z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0x010100BF35EC9515766340858D70EECC5AD921</vt:lpwstr>
  </property>
  <property fmtid="{D5CDD505-2E9C-101B-9397-08002B2CF9AE}" pid="3" name="MediaServiceImageTags">
    <vt:lpwstr/>
  </property>
</Properties>
</file>